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ONCO'!$A$1:$J$46</definedName>
    <definedName name="_xlnm.Print_Area" localSheetId="10">'CV UNICE'!$A$1:$J$46</definedName>
  </definedNames>
  <calcPr fullCalcOnLoad="1"/>
</workbook>
</file>

<file path=xl/sharedStrings.xml><?xml version="1.0" encoding="utf-8"?>
<sst xmlns="http://schemas.openxmlformats.org/spreadsheetml/2006/main" count="955" uniqueCount="129">
  <si>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</si>
  <si>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</si>
  <si>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</si>
  <si>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</si>
  <si>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</si>
  <si>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</si>
  <si>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</si>
  <si>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</si>
  <si>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</si>
  <si>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</si>
  <si>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</si>
  <si>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</si>
  <si>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</si>
  <si>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</si>
  <si>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</si>
  <si>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</si>
  <si>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</si>
  <si>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</si>
  <si>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</si>
  <si>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</si>
  <si>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</si>
  <si>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</si>
  <si>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</si>
  <si>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</si>
  <si>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</si>
  <si>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</si>
  <si>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</si>
  <si>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</si>
  <si>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</si>
  <si>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</si>
  <si>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</si>
  <si>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</si>
  <si>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</si>
  <si>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</si>
  <si>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</si>
  <si>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</si>
  <si>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</si>
  <si>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</si>
  <si>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</si>
  <si>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</si>
  <si>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</si>
  <si>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</si>
  <si>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</si>
  <si>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</si>
  <si>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</si>
  <si>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</si>
  <si>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</si>
  <si>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</si>
  <si>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</si>
  <si>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</si>
  <si>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</si>
  <si>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</si>
  <si>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</si>
  <si>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</si>
  <si>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</si>
  <si>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</si>
  <si>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</si>
  <si>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</si>
  <si>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</si>
  <si>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</si>
  <si>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</si>
  <si>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</si>
  <si>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</si>
  <si>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</si>
  <si>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</si>
  <si>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</si>
  <si>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</si>
  <si>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</si>
  <si>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</si>
  <si>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</si>
  <si>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</si>
  <si>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</si>
  <si>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</si>
  <si>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</si>
  <si>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</si>
  <si>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</si>
  <si>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</si>
  <si>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</si>
  <si>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</si>
  <si>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</si>
  <si>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</si>
  <si>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</si>
  <si>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</si>
  <si>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</si>
  <si>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</si>
  <si>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</si>
  <si>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</si>
  <si>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</si>
  <si>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</si>
  <si>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</si>
  <si>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</si>
  <si>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</si>
  <si>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</si>
  <si>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</si>
  <si>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</si>
  <si>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</si>
  <si>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</si>
  <si>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</si>
  <si>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</si>
  <si>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</si>
  <si>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</si>
  <si>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</si>
  <si>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</si>
  <si>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</si>
  <si>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</si>
  <si>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</si>
  <si>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</si>
  <si>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</si>
  <si>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</si>
  <si>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</si>
  <si>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</si>
  <si>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</si>
  <si>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KOVAPROD</t>
  </si>
  <si>
    <t>BRETCU</t>
  </si>
  <si>
    <t>LENA FARMACEUTICA</t>
  </si>
  <si>
    <t>37</t>
  </si>
  <si>
    <t>38</t>
  </si>
  <si>
    <t>SITUATIA CONSUMULUI DE MEDICAMENTE PENTRU PENSIONARI PANA LA 1139 LEI DECEMBRIE 2019</t>
  </si>
  <si>
    <t>SITUATIA CONSUMULUI DE MEDICAMENTE IN LUNA  DECEMBRIE 2019</t>
  </si>
  <si>
    <t>SITUATIA CONSUMULUI DE MEDICAMENTE PENTRU DIABET   LUNA DECEMBRIE 2019</t>
  </si>
  <si>
    <t>SITUATIA CONSUMULUI DE MEDICAMENTE PENTRU INSULINE LUNA DECEMBRIE 2019</t>
  </si>
  <si>
    <t>SITUATIA CONSUMULUI DE MEDICAMENTE LA  DIABET SI INSULINE DECEMBRIE 2019</t>
  </si>
  <si>
    <t>SITUATIA CONSUMULUI DE MEDICAMENTE PENTRU PNS COST VOLUM   LUNA DECEMBRIE 2019</t>
  </si>
  <si>
    <t>SITUATIA CONSUMULUI DE MEDICAMENTE PENTRU ONCOLOGIE  LUNA DECEMBRIE 2019</t>
  </si>
  <si>
    <t>SITUATIA CONSUMULUI DE MEDICAMENTE LA STARI POSTTRANSPLANT DECEMBRIE 2019</t>
  </si>
  <si>
    <t>SITUATIA CONSUMULUI DE MEDICAMENTE PENTRU SCLEROZA   LUNA DECEMBRIE 2019</t>
  </si>
  <si>
    <t>SITUATIA CONSUMULUI DE MEDIC. PENTRU UNICE COST VOLUM   LUNA DECEMBRIE 2019</t>
  </si>
  <si>
    <t>SITUATIA CONSUMULUI DE MEDICAMENTE LA STARI MUCOVISCIDOZA DECEMBRIE 2019</t>
  </si>
  <si>
    <t>SITUATIA CONSUMULUI LA TESTE PENTRU LUNA DECEMBRIE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</si>
</sst>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4" fontId="17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49" fontId="3" fillId="0" borderId="4" xfId="0" applyNumberFormat="1" applyFont="1" applyBorder="1" applyAlignment="1">
      <alignment horizontal="right"/>
    </xf>
    <xf numFmtId="4" fontId="3" fillId="2" borderId="4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" fontId="5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5" fillId="4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74"/>
  <sheetViews>
    <sheetView tabSelected="1" workbookViewId="0" topLeftCell="C10">
      <selection activeCell="D45" sqref="D45:E46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1.7109375" style="95" bestFit="1" customWidth="1"/>
    <col min="21" max="21" width="11.7109375" style="4" bestFit="1" customWidth="1"/>
    <col min="22" max="22" width="11.7109375" style="89" bestFit="1" customWidth="1"/>
    <col min="23" max="23" width="9.140625" style="4" customWidth="1"/>
    <col min="24" max="24" width="11.7109375" style="4" bestFit="1" customWidth="1"/>
    <col min="25" max="59" width="9.140625" style="4" customWidth="1"/>
  </cols>
  <sheetData>
    <row r="2" ht="12.75">
      <c r="P2">
        <f>214291.85-203991.85</f>
        <v>10300</v>
      </c>
    </row>
    <row r="3" spans="2:19" ht="15.75">
      <c r="B3" s="20" t="s">
        <v>118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1.5">
      <c r="A4" s="70" t="s">
        <v>0</v>
      </c>
      <c r="B4" s="71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72" t="s">
        <v>95</v>
      </c>
      <c r="H4" s="73" t="s">
        <v>99</v>
      </c>
      <c r="I4" s="72" t="s">
        <v>100</v>
      </c>
      <c r="J4" s="72" t="s">
        <v>104</v>
      </c>
      <c r="K4" s="72" t="s">
        <v>101</v>
      </c>
      <c r="L4" s="72" t="s">
        <v>102</v>
      </c>
      <c r="M4" s="72" t="s">
        <v>107</v>
      </c>
      <c r="N4" s="72" t="s">
        <v>105</v>
      </c>
      <c r="O4" s="72" t="s">
        <v>103</v>
      </c>
      <c r="P4" s="72" t="s">
        <v>106</v>
      </c>
      <c r="Q4" s="72" t="s">
        <v>109</v>
      </c>
      <c r="R4" s="74" t="s">
        <v>92</v>
      </c>
      <c r="S4" s="73" t="s">
        <v>108</v>
      </c>
    </row>
    <row r="5" spans="1:24" ht="15.75">
      <c r="A5" s="75">
        <v>1</v>
      </c>
      <c r="B5" s="76" t="s">
        <v>6</v>
      </c>
      <c r="C5" s="26">
        <f>32413.73+6639.59+4882.11+1217.6</f>
        <v>45153.03</v>
      </c>
      <c r="D5" s="26">
        <f>41783.4+4035.83+5483.79+1063.38</f>
        <v>52366.4</v>
      </c>
      <c r="E5" s="26">
        <f>58155.5+4210.65+6242.9+324.14</f>
        <v>68933.19</v>
      </c>
      <c r="F5" s="26">
        <f>2813.53+372.19+439.65+92.72</f>
        <v>3718.09</v>
      </c>
      <c r="G5" s="26">
        <f>5312.59+330.41+563.87+93.42</f>
        <v>6300.29</v>
      </c>
      <c r="H5" s="27">
        <v>742.71</v>
      </c>
      <c r="I5" s="26"/>
      <c r="J5" s="26">
        <v>952.23</v>
      </c>
      <c r="K5" s="26">
        <v>5357.96</v>
      </c>
      <c r="L5" s="26">
        <v>24953.1</v>
      </c>
      <c r="M5" s="26"/>
      <c r="N5" s="26">
        <v>5978.85</v>
      </c>
      <c r="O5" s="26"/>
      <c r="P5" s="26">
        <v>9278.72</v>
      </c>
      <c r="Q5" s="77">
        <f>H5+I5+J5+K5+L5+M5+N5+O5+P5</f>
        <v>47263.57</v>
      </c>
      <c r="R5" s="78">
        <f aca="true" t="shared" si="0" ref="R5:R43">C5+D5+E5+F5+G5+H5+I5+J5+K5+L5+M5+N5+O5+P5</f>
        <v>223734.57</v>
      </c>
      <c r="S5" s="79">
        <f>R5-Q5</f>
        <v>176471</v>
      </c>
      <c r="T5" s="109">
        <f>R5+PENS!E7+DIABET!C6+INS!C7+MIXT!E6+TESTE!C7+TESTE!D7+'COST VOLUM ONCO'!C6+ONCO!C6+POSTT!C6+SCLEROZ!C6+'CV UNICE'!C6+MUCOV!C6+MUCOV!D6</f>
        <v>553420.86</v>
      </c>
      <c r="U5" s="108">
        <f>R5+PENS!C7</f>
        <v>230343.93</v>
      </c>
      <c r="V5" s="84"/>
      <c r="X5" s="82"/>
    </row>
    <row r="6" spans="1:24" ht="15.75">
      <c r="A6" s="75">
        <v>2</v>
      </c>
      <c r="B6" s="76" t="s">
        <v>7</v>
      </c>
      <c r="C6" s="26">
        <f>10397.94+7685.68</f>
        <v>18083.620000000003</v>
      </c>
      <c r="D6" s="26">
        <f>13721.09+8101.77</f>
        <v>21822.86</v>
      </c>
      <c r="E6" s="26">
        <f>3980.91+9174.51</f>
        <v>13155.42</v>
      </c>
      <c r="F6" s="26">
        <f>359.66+359.01</f>
        <v>718.6700000000001</v>
      </c>
      <c r="G6" s="26">
        <f>1255.65+1498.81</f>
        <v>2754.46</v>
      </c>
      <c r="H6" s="27">
        <v>2976.16</v>
      </c>
      <c r="I6" s="26"/>
      <c r="J6" s="26"/>
      <c r="K6" s="26"/>
      <c r="L6" s="26">
        <v>2678.98</v>
      </c>
      <c r="M6" s="26"/>
      <c r="N6" s="26">
        <v>3299.87</v>
      </c>
      <c r="O6" s="26"/>
      <c r="P6" s="26"/>
      <c r="Q6" s="77">
        <f aca="true" t="shared" si="1" ref="Q6:Q43">H6+I6+J6+K6+L6+M6+N6+O6+P6</f>
        <v>8955.009999999998</v>
      </c>
      <c r="R6" s="78">
        <f t="shared" si="0"/>
        <v>65490.04000000001</v>
      </c>
      <c r="S6" s="79">
        <f aca="true" t="shared" si="2" ref="S6:S42">R6-Q6</f>
        <v>56535.03000000001</v>
      </c>
      <c r="T6" s="109">
        <f>R6+PENS!E8+DIABET!C7+INS!C8+MIXT!E7+TESTE!C8+TESTE!D8+'COST VOLUM ONCO'!C9+ONCO!C7+POSTT!C7+SCLEROZ!C7+'CV UNICE'!C7+MUCOV!C7+MUCOV!D7</f>
        <v>106319.17</v>
      </c>
      <c r="U6" s="108">
        <f>R6+PENS!C8</f>
        <v>68523.33</v>
      </c>
      <c r="V6" s="84"/>
      <c r="X6" s="82"/>
    </row>
    <row r="7" spans="1:24" ht="15.75">
      <c r="A7" s="75">
        <v>3</v>
      </c>
      <c r="B7" s="76" t="s">
        <v>8</v>
      </c>
      <c r="C7" s="26">
        <f>7990.5+6489.54+5023.04+10173.3+2273.9</f>
        <v>31950.280000000002</v>
      </c>
      <c r="D7" s="26">
        <f>8705.62+4357.59+5827.96+9591.79+1863.86</f>
        <v>30346.820000000003</v>
      </c>
      <c r="E7" s="26">
        <f>2500.48+2034.49+1072.42+6187.64+141.87</f>
        <v>11936.900000000001</v>
      </c>
      <c r="F7" s="26">
        <f>2131.29+1183.04+820.31+1628.24+1627.51</f>
        <v>7390.389999999999</v>
      </c>
      <c r="G7" s="26">
        <f>822.22+497.47+382.69+1126.36+148.46</f>
        <v>2977.2</v>
      </c>
      <c r="H7" s="27"/>
      <c r="I7" s="26"/>
      <c r="J7" s="26"/>
      <c r="K7" s="26"/>
      <c r="L7" s="26"/>
      <c r="M7" s="26"/>
      <c r="N7" s="26"/>
      <c r="O7" s="26"/>
      <c r="P7" s="26"/>
      <c r="Q7" s="77">
        <f t="shared" si="1"/>
        <v>0</v>
      </c>
      <c r="R7" s="78">
        <f t="shared" si="0"/>
        <v>84601.59</v>
      </c>
      <c r="S7" s="79">
        <f t="shared" si="2"/>
        <v>84601.59</v>
      </c>
      <c r="T7" s="109">
        <f>R7+PENS!E9+DIABET!C8+INS!C9+MIXT!E8+TESTE!C9+TESTE!D9+'COST VOLUM ONCO'!C8+ONCO!C8+POSTT!C8+SCLEROZ!C8+'CV UNICE'!C8+MUCOV!C8+MUCOV!D8</f>
        <v>107843.52</v>
      </c>
      <c r="U7" s="108">
        <f>R7+PENS!C9</f>
        <v>88827.12999999999</v>
      </c>
      <c r="V7" s="84"/>
      <c r="X7" s="82"/>
    </row>
    <row r="8" spans="1:24" ht="15.75">
      <c r="A8" s="75">
        <v>4</v>
      </c>
      <c r="B8" s="76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77">
        <f t="shared" si="1"/>
        <v>0</v>
      </c>
      <c r="R8" s="78">
        <f t="shared" si="0"/>
        <v>0</v>
      </c>
      <c r="S8" s="79">
        <f t="shared" si="2"/>
        <v>0</v>
      </c>
      <c r="T8" s="107">
        <f>R8+PENS!E10+DIABET!C9+INS!C10+MIXT!E9+TESTE!C10+TESTE!D10+'COST VOLUM ONCO'!C9+ONCO!C9+POSTT!C9+SCLEROZ!C9+'CV UNICE'!C9+MUCOV!C9+MUCOV!D9</f>
        <v>0</v>
      </c>
      <c r="U8" s="108">
        <f>R8+PENS!C10</f>
        <v>0</v>
      </c>
      <c r="V8" s="88"/>
      <c r="X8" s="82"/>
    </row>
    <row r="9" spans="1:24" ht="15.75">
      <c r="A9" s="75">
        <v>5</v>
      </c>
      <c r="B9" s="76" t="s">
        <v>10</v>
      </c>
      <c r="C9" s="26">
        <f>4912.27+7396.92+5872.21</f>
        <v>18181.4</v>
      </c>
      <c r="D9" s="26">
        <f>4765.38+6614.86+5076.86</f>
        <v>16457.1</v>
      </c>
      <c r="E9" s="26">
        <f>3307.59+3780.53+3100.94</f>
        <v>10189.060000000001</v>
      </c>
      <c r="F9" s="26">
        <f>867.82+541.22+354.83</f>
        <v>1763.87</v>
      </c>
      <c r="G9" s="26">
        <f>1101.04+962.82+786.46</f>
        <v>2850.32</v>
      </c>
      <c r="H9" s="27"/>
      <c r="I9" s="26"/>
      <c r="J9" s="26"/>
      <c r="K9" s="26"/>
      <c r="L9" s="26"/>
      <c r="M9" s="26"/>
      <c r="N9" s="26"/>
      <c r="O9" s="26"/>
      <c r="P9" s="26"/>
      <c r="Q9" s="77">
        <f t="shared" si="1"/>
        <v>0</v>
      </c>
      <c r="R9" s="78">
        <f t="shared" si="0"/>
        <v>49441.75</v>
      </c>
      <c r="S9" s="79">
        <f t="shared" si="2"/>
        <v>49441.75</v>
      </c>
      <c r="T9" s="109">
        <f>R9+PENS!E11+DIABET!C10+INS!C11+MIXT!E10+TESTE!C11+TESTE!D11+'COST VOLUM ONCO'!C10+ONCO!C10+POSTT!C10+SCLEROZ!C10+'CV UNICE'!C10+MUCOV!C10+MUCOV!D10</f>
        <v>67339.58</v>
      </c>
      <c r="U9" s="108">
        <f>R9+PENS!C11</f>
        <v>53693.95</v>
      </c>
      <c r="V9" s="84"/>
      <c r="X9" s="82"/>
    </row>
    <row r="10" spans="1:24" ht="15.75">
      <c r="A10" s="75">
        <v>6</v>
      </c>
      <c r="B10" s="76" t="s">
        <v>11</v>
      </c>
      <c r="C10" s="26">
        <v>16749.83</v>
      </c>
      <c r="D10" s="26">
        <v>23977.08</v>
      </c>
      <c r="E10" s="26">
        <v>28715.23</v>
      </c>
      <c r="F10" s="27">
        <v>720.14</v>
      </c>
      <c r="G10" s="26">
        <v>2826</v>
      </c>
      <c r="H10" s="27"/>
      <c r="J10" s="26"/>
      <c r="K10" s="26"/>
      <c r="L10" s="26"/>
      <c r="M10" s="26"/>
      <c r="N10" s="26"/>
      <c r="O10" s="26"/>
      <c r="P10" s="26"/>
      <c r="Q10" s="77">
        <f t="shared" si="1"/>
        <v>0</v>
      </c>
      <c r="R10" s="78">
        <f t="shared" si="0"/>
        <v>72988.28</v>
      </c>
      <c r="S10" s="79">
        <f t="shared" si="2"/>
        <v>72988.28</v>
      </c>
      <c r="T10" s="109">
        <f>R10+PENS!E12+DIABET!C11+INS!C12+MIXT!E11+TESTE!C12+TESTE!D12+'COST VOLUM ONCO'!C11+ONCO!C11+POSTT!C11+SCLEROZ!C11+'CV UNICE'!C11+MUCOV!C11+MUCOV!D11</f>
        <v>133465.12</v>
      </c>
      <c r="U10" s="108">
        <f>R10+PENS!C12</f>
        <v>75106.18</v>
      </c>
      <c r="V10" s="84"/>
      <c r="X10" s="82"/>
    </row>
    <row r="11" spans="1:24" ht="15.75">
      <c r="A11" s="75">
        <v>7</v>
      </c>
      <c r="B11" s="76" t="s">
        <v>12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77">
        <f t="shared" si="1"/>
        <v>0</v>
      </c>
      <c r="R11" s="78">
        <f t="shared" si="0"/>
        <v>0</v>
      </c>
      <c r="S11" s="79">
        <f t="shared" si="2"/>
        <v>0</v>
      </c>
      <c r="T11" s="107">
        <f>R11+PENS!E13+DIABET!C12+INS!C13+MIXT!E12+TESTE!C13+TESTE!D13+'COST VOLUM ONCO'!C12+ONCO!C12+POSTT!C12+SCLEROZ!C12+'CV UNICE'!C12+MUCOV!C12+MUCOV!D12</f>
        <v>0</v>
      </c>
      <c r="U11" s="108">
        <f>R11+PENS!C13</f>
        <v>0</v>
      </c>
      <c r="V11" s="88"/>
      <c r="X11" s="82"/>
    </row>
    <row r="12" spans="1:26" ht="15.75">
      <c r="A12" s="75">
        <v>8</v>
      </c>
      <c r="B12" s="76" t="s">
        <v>13</v>
      </c>
      <c r="C12" s="26">
        <f>15114.61+14007.51+4213.79+7233.74+15160.18</f>
        <v>55729.83</v>
      </c>
      <c r="D12" s="26">
        <f>19724.88+14009.72+4594.16+5368.7+18592.93</f>
        <v>62290.38999999999</v>
      </c>
      <c r="E12" s="26">
        <f>23620.01+10270.04+6134.06+6597.22+68429.57</f>
        <v>115050.90000000001</v>
      </c>
      <c r="F12" s="26">
        <f>1294.5+2953.5+296.9+1526.31+1856.88</f>
        <v>7928.089999999999</v>
      </c>
      <c r="G12" s="26">
        <f>2123.38+1868.49+394.28+413.23+1900.9</f>
        <v>6700.279999999999</v>
      </c>
      <c r="H12" s="27">
        <f>941.56+88.51+241.72</f>
        <v>1271.79</v>
      </c>
      <c r="I12" s="26"/>
      <c r="J12" s="26"/>
      <c r="K12" s="26">
        <f>3868.52</f>
        <v>3868.52</v>
      </c>
      <c r="L12" s="26">
        <f>6520.64+10511.84+2678.98</f>
        <v>19711.46</v>
      </c>
      <c r="M12" s="26">
        <f>1339.49</f>
        <v>1339.49</v>
      </c>
      <c r="N12" s="26">
        <f>2678.98+2678.98</f>
        <v>5357.96</v>
      </c>
      <c r="O12" s="26"/>
      <c r="P12" s="26"/>
      <c r="Q12" s="77">
        <f t="shared" si="1"/>
        <v>31549.219999999998</v>
      </c>
      <c r="R12" s="78">
        <f t="shared" si="0"/>
        <v>279248.71</v>
      </c>
      <c r="S12" s="79">
        <f t="shared" si="2"/>
        <v>247699.49000000002</v>
      </c>
      <c r="T12" s="109">
        <f>R12+PENS!E14+DIABET!C13+INS!C14+MIXT!E13+TESTE!C14+TESTE!D14+'COST VOLUM ONCO'!C13+ONCO!C13+POSTT!C13+SCLEROZ!C13+'CV UNICE'!C13+MUCOV!C13+MUCOV!D13</f>
        <v>432360.3</v>
      </c>
      <c r="U12" s="108">
        <f>R12+PENS!C14</f>
        <v>285429.88</v>
      </c>
      <c r="V12" s="84"/>
      <c r="X12" s="82"/>
      <c r="Z12" s="96"/>
    </row>
    <row r="13" spans="1:24" ht="15.75">
      <c r="A13" s="75">
        <v>9</v>
      </c>
      <c r="B13" s="76" t="s">
        <v>112</v>
      </c>
      <c r="C13" s="26">
        <f>14874.84+15075.65+5854.96+7972.35+6667.34+2525.49+4729.88</f>
        <v>57700.509999999995</v>
      </c>
      <c r="D13" s="26">
        <f>20632.54+17993.39+6027.73+8542.37+8857.91+2069.32+4033.26</f>
        <v>68156.52</v>
      </c>
      <c r="E13" s="26">
        <f>13207.93+11946.31+2001.75+3486.76+9975.48+1468.34+2055.88</f>
        <v>44142.44999999999</v>
      </c>
      <c r="F13" s="26">
        <f>993.98+1482.82+551.86+753.97+1250.94+32.54+1284.81</f>
        <v>6350.92</v>
      </c>
      <c r="G13" s="26">
        <f>2889.78+1381.15+773.89+986.36+822.5+209.41+395.66</f>
        <v>7458.75</v>
      </c>
      <c r="H13" s="27">
        <f>495.14+247.57</f>
        <v>742.71</v>
      </c>
      <c r="I13" s="26"/>
      <c r="J13" s="26"/>
      <c r="K13" s="26"/>
      <c r="L13" s="26"/>
      <c r="M13" s="26"/>
      <c r="N13" s="26">
        <v>2678.98</v>
      </c>
      <c r="O13" s="26"/>
      <c r="P13" s="26"/>
      <c r="Q13" s="77">
        <f t="shared" si="1"/>
        <v>3421.69</v>
      </c>
      <c r="R13" s="78">
        <f t="shared" si="0"/>
        <v>187230.84</v>
      </c>
      <c r="S13" s="79">
        <f t="shared" si="2"/>
        <v>183809.15</v>
      </c>
      <c r="T13" s="109">
        <f>R13+PENS!E15+DIABET!C14+INS!C15+MIXT!E14+TESTE!C15+TESTE!D15+'COST VOLUM ONCO'!C14+ONCO!C14+POSTT!C14+SCLEROZ!C14+'CV UNICE'!C14+MUCOV!C14+MUCOV!D14</f>
        <v>402541.22000000003</v>
      </c>
      <c r="U13" s="108">
        <f>R13+PENS!C15</f>
        <v>193879.33</v>
      </c>
      <c r="V13" s="84"/>
      <c r="X13" s="82"/>
    </row>
    <row r="14" spans="1:24" ht="15.75">
      <c r="A14" s="75">
        <v>10</v>
      </c>
      <c r="B14" s="76" t="s">
        <v>14</v>
      </c>
      <c r="C14" s="26">
        <v>19571.11</v>
      </c>
      <c r="D14" s="26">
        <v>42940.74</v>
      </c>
      <c r="E14" s="26">
        <v>32633.54</v>
      </c>
      <c r="F14" s="26">
        <v>845.7</v>
      </c>
      <c r="G14" s="26">
        <v>1175.02</v>
      </c>
      <c r="H14" s="27">
        <v>3368.54</v>
      </c>
      <c r="I14" s="26">
        <v>247.57</v>
      </c>
      <c r="J14" s="26">
        <v>7334.4</v>
      </c>
      <c r="K14" s="26">
        <v>3868.52</v>
      </c>
      <c r="L14" s="26">
        <v>11450.67</v>
      </c>
      <c r="M14" s="26"/>
      <c r="N14" s="26">
        <v>5939.3</v>
      </c>
      <c r="O14" s="26"/>
      <c r="P14" s="26"/>
      <c r="Q14" s="77">
        <f t="shared" si="1"/>
        <v>32209</v>
      </c>
      <c r="R14" s="78">
        <f t="shared" si="0"/>
        <v>129375.11</v>
      </c>
      <c r="S14" s="79">
        <f t="shared" si="2"/>
        <v>97166.11</v>
      </c>
      <c r="T14" s="109">
        <f>R14+PENS!E16+DIABET!C15+INS!C16+MIXT!E15+TESTE!C16+TESTE!D16+'COST VOLUM ONCO'!C15+ONCO!C15+POSTT!C15+SCLEROZ!C15+'CV UNICE'!C15+MUCOV!C15+MUCOV!D15</f>
        <v>545734.7000000001</v>
      </c>
      <c r="U14" s="108">
        <f>R14+PENS!C16</f>
        <v>130082.45</v>
      </c>
      <c r="V14" s="84"/>
      <c r="X14" s="82"/>
    </row>
    <row r="15" spans="1:24" ht="15.75">
      <c r="A15" s="75">
        <v>11</v>
      </c>
      <c r="B15" s="76" t="s">
        <v>15</v>
      </c>
      <c r="C15" s="26">
        <f>11611.15+1211.55+9442.4</f>
        <v>22265.1</v>
      </c>
      <c r="D15" s="28">
        <f>14195.55+1215.61+13633.7</f>
        <v>29044.86</v>
      </c>
      <c r="E15" s="26">
        <f>16742.03+337.34+5408.43</f>
        <v>22487.8</v>
      </c>
      <c r="F15" s="26">
        <f>870.66+87.91+1190.9</f>
        <v>2149.4700000000003</v>
      </c>
      <c r="G15" s="26">
        <f>1733.13+81.39+1480.76</f>
        <v>3295.28</v>
      </c>
      <c r="H15" s="27">
        <v>247.57</v>
      </c>
      <c r="I15" s="26"/>
      <c r="J15" s="26"/>
      <c r="K15" s="26"/>
      <c r="L15" s="26"/>
      <c r="M15" s="26"/>
      <c r="N15" s="26"/>
      <c r="O15" s="26"/>
      <c r="P15" s="26"/>
      <c r="Q15" s="77">
        <f t="shared" si="1"/>
        <v>247.57</v>
      </c>
      <c r="R15" s="78">
        <f t="shared" si="0"/>
        <v>79490.08</v>
      </c>
      <c r="S15" s="79">
        <f t="shared" si="2"/>
        <v>79242.51</v>
      </c>
      <c r="T15" s="109">
        <f>R15+PENS!E17+DIABET!C16+INS!C17+MIXT!E16+TESTE!C17+TESTE!D17+'COST VOLUM ONCO'!C16+ONCO!C16+POSTT!C16+SCLEROZ!C16+'CV UNICE'!C16+MUCOV!C16+MUCOV!D16</f>
        <v>193677.09</v>
      </c>
      <c r="U15" s="108">
        <f>R15+PENS!C17</f>
        <v>82876.22</v>
      </c>
      <c r="V15" s="84"/>
      <c r="X15" s="82"/>
    </row>
    <row r="16" spans="1:24" ht="15.75">
      <c r="A16" s="75">
        <v>12</v>
      </c>
      <c r="B16" s="76" t="s">
        <v>16</v>
      </c>
      <c r="C16" s="26">
        <f>17661.34+12189.46+23816.36</f>
        <v>53667.16</v>
      </c>
      <c r="D16" s="26">
        <f>17852.44+14753.69+33443.54</f>
        <v>66049.67</v>
      </c>
      <c r="E16" s="26">
        <f>5787.85+5636.08+13789.23</f>
        <v>25213.16</v>
      </c>
      <c r="F16" s="26">
        <f>1357.53+995.41+2047.68</f>
        <v>4400.62</v>
      </c>
      <c r="G16" s="26">
        <f>2288.17+1761.55+3317.29</f>
        <v>7367.01</v>
      </c>
      <c r="H16" s="27">
        <f>247.57+247.57</f>
        <v>495.14</v>
      </c>
      <c r="I16" s="26"/>
      <c r="J16" s="26"/>
      <c r="K16" s="26">
        <v>8036.92</v>
      </c>
      <c r="L16" s="26">
        <f>12578.59</f>
        <v>12578.59</v>
      </c>
      <c r="M16" s="26"/>
      <c r="N16" s="26">
        <f>2678.98+25034.56</f>
        <v>27713.54</v>
      </c>
      <c r="O16" s="26">
        <v>1815.63</v>
      </c>
      <c r="P16" s="26"/>
      <c r="Q16" s="77">
        <f t="shared" si="1"/>
        <v>50639.82</v>
      </c>
      <c r="R16" s="78">
        <f t="shared" si="0"/>
        <v>207337.44000000003</v>
      </c>
      <c r="S16" s="79">
        <f t="shared" si="2"/>
        <v>156697.62000000002</v>
      </c>
      <c r="T16" s="109">
        <f>R16+PENS!E18+DIABET!C17+INS!C18+MIXT!E17+TESTE!C18+TESTE!D18+'COST VOLUM ONCO'!C17+ONCO!C17+POSTT!C17+SCLEROZ!C17+'CV UNICE'!C17+MUCOV!C17+MUCOV!D17</f>
        <v>325593.2900000001</v>
      </c>
      <c r="U16" s="108">
        <f>R16+PENS!C18</f>
        <v>217879.58000000002</v>
      </c>
      <c r="V16" s="84"/>
      <c r="X16" s="82"/>
    </row>
    <row r="17" spans="1:24" ht="15.75">
      <c r="A17" s="75">
        <v>13</v>
      </c>
      <c r="B17" s="76" t="s">
        <v>17</v>
      </c>
      <c r="C17" s="26">
        <v>28965.24</v>
      </c>
      <c r="D17" s="26">
        <v>33810.3</v>
      </c>
      <c r="E17" s="26">
        <v>18169.87</v>
      </c>
      <c r="F17" s="26">
        <v>3775.26</v>
      </c>
      <c r="G17" s="26">
        <v>4189.9</v>
      </c>
      <c r="H17" s="27"/>
      <c r="I17" s="26"/>
      <c r="J17" s="26"/>
      <c r="K17" s="26"/>
      <c r="L17" s="26"/>
      <c r="M17" s="26"/>
      <c r="N17" s="26"/>
      <c r="O17" s="26"/>
      <c r="P17" s="26"/>
      <c r="Q17" s="77">
        <f t="shared" si="1"/>
        <v>0</v>
      </c>
      <c r="R17" s="78">
        <f t="shared" si="0"/>
        <v>88910.56999999999</v>
      </c>
      <c r="S17" s="79">
        <f t="shared" si="2"/>
        <v>88910.56999999999</v>
      </c>
      <c r="T17" s="109">
        <f>R17+PENS!E19+DIABET!C18+INS!C19+MIXT!E18+TESTE!C19+TESTE!D19+'COST VOLUM ONCO'!C18+ONCO!C18+POSTT!C18+SCLEROZ!C18+'CV UNICE'!C18+MUCOV!C18+MUCOV!D18</f>
        <v>170449.88999999998</v>
      </c>
      <c r="U17" s="108">
        <f>R17+PENS!C19</f>
        <v>95195.40999999999</v>
      </c>
      <c r="V17" s="84"/>
      <c r="X17" s="82"/>
    </row>
    <row r="18" spans="1:25" ht="15.75">
      <c r="A18" s="75">
        <v>14</v>
      </c>
      <c r="B18" s="76" t="s">
        <v>18</v>
      </c>
      <c r="C18" s="26">
        <v>17861.71</v>
      </c>
      <c r="D18" s="26">
        <v>11878.34</v>
      </c>
      <c r="E18" s="26">
        <v>8453.13</v>
      </c>
      <c r="F18" s="26">
        <v>2821.64</v>
      </c>
      <c r="G18" s="26">
        <v>1213.61</v>
      </c>
      <c r="H18" s="27"/>
      <c r="I18" s="26"/>
      <c r="J18" s="26"/>
      <c r="K18" s="26"/>
      <c r="L18" s="26"/>
      <c r="M18" s="26"/>
      <c r="N18" s="26"/>
      <c r="O18" s="26"/>
      <c r="P18" s="26"/>
      <c r="Q18" s="77">
        <f t="shared" si="1"/>
        <v>0</v>
      </c>
      <c r="R18" s="78">
        <f t="shared" si="0"/>
        <v>42228.43</v>
      </c>
      <c r="S18" s="79">
        <f t="shared" si="2"/>
        <v>42228.43</v>
      </c>
      <c r="T18" s="109">
        <f>R18+PENS!E20+DIABET!C19+INS!C20+MIXT!E19+TESTE!C20+TESTE!D20+'COST VOLUM ONCO'!C19+ONCO!C19+POSTT!C19+SCLEROZ!C19+'CV UNICE'!C19+MUCOV!C19+MUCOV!D19</f>
        <v>64993.46</v>
      </c>
      <c r="U18" s="108">
        <f>R18+PENS!C20</f>
        <v>43042.38</v>
      </c>
      <c r="V18" s="84"/>
      <c r="W18" s="12"/>
      <c r="X18" s="82"/>
      <c r="Y18" s="12"/>
    </row>
    <row r="19" spans="1:24" ht="15.75">
      <c r="A19" s="75">
        <v>15</v>
      </c>
      <c r="B19" s="76" t="s">
        <v>19</v>
      </c>
      <c r="C19" s="26">
        <f>39682.97+12963.6</f>
        <v>52646.57</v>
      </c>
      <c r="D19" s="26">
        <f>28686.12+10387.35</f>
        <v>39073.47</v>
      </c>
      <c r="E19" s="26">
        <f>21289.58+10499.21</f>
        <v>31788.79</v>
      </c>
      <c r="F19" s="26">
        <f>8053.7+1690.03</f>
        <v>9743.73</v>
      </c>
      <c r="G19" s="26">
        <f>3050.09+702.54</f>
        <v>3752.63</v>
      </c>
      <c r="H19" s="27"/>
      <c r="I19" s="26"/>
      <c r="J19" s="26"/>
      <c r="K19" s="26"/>
      <c r="L19" s="26"/>
      <c r="M19" s="26"/>
      <c r="N19" s="26"/>
      <c r="O19" s="26"/>
      <c r="P19" s="26"/>
      <c r="Q19" s="77">
        <f t="shared" si="1"/>
        <v>0</v>
      </c>
      <c r="R19" s="78">
        <f t="shared" si="0"/>
        <v>137005.19000000003</v>
      </c>
      <c r="S19" s="79">
        <f t="shared" si="2"/>
        <v>137005.19000000003</v>
      </c>
      <c r="T19" s="109">
        <f>R19+PENS!E21+DIABET!C20+INS!C21+MIXT!E20+TESTE!C21+TESTE!D21+'COST VOLUM ONCO'!C20+ONCO!C20+POSTT!C20+SCLEROZ!C20+'CV UNICE'!C20+MUCOV!C20+MUCOV!D20</f>
        <v>191788.22</v>
      </c>
      <c r="U19" s="108">
        <f>R19+PENS!C21</f>
        <v>140446.22000000003</v>
      </c>
      <c r="V19" s="84"/>
      <c r="X19" s="82"/>
    </row>
    <row r="20" spans="1:24" ht="15.75">
      <c r="A20" s="75">
        <v>16</v>
      </c>
      <c r="B20" s="76" t="s">
        <v>20</v>
      </c>
      <c r="C20" s="26">
        <f>10305.11+4457.72</f>
        <v>14762.830000000002</v>
      </c>
      <c r="D20" s="26">
        <f>11794.48+3595.8</f>
        <v>15390.279999999999</v>
      </c>
      <c r="E20" s="26">
        <f>4795.26+2501.68</f>
        <v>7296.9400000000005</v>
      </c>
      <c r="F20" s="26">
        <f>1172.09+762.69</f>
        <v>1934.78</v>
      </c>
      <c r="G20" s="26">
        <f>1619.05+452.83</f>
        <v>2071.88</v>
      </c>
      <c r="H20" s="29"/>
      <c r="I20" s="26"/>
      <c r="J20" s="26"/>
      <c r="K20" s="26"/>
      <c r="L20" s="26"/>
      <c r="M20" s="26"/>
      <c r="N20" s="26"/>
      <c r="O20" s="26"/>
      <c r="P20" s="26"/>
      <c r="Q20" s="77">
        <f t="shared" si="1"/>
        <v>0</v>
      </c>
      <c r="R20" s="78">
        <f t="shared" si="0"/>
        <v>41456.71</v>
      </c>
      <c r="S20" s="79">
        <f t="shared" si="2"/>
        <v>41456.71</v>
      </c>
      <c r="T20" s="109">
        <f>R20+PENS!E22+DIABET!C21+INS!C22+MIXT!E21+TESTE!C22+TESTE!D22+'COST VOLUM ONCO'!C21+ONCO!C21+POSTT!C21+SCLEROZ!C21+'CV UNICE'!C21+MUCOV!C21+MUCOV!D21</f>
        <v>49487.77</v>
      </c>
      <c r="U20" s="108">
        <f>R20+PENS!C22</f>
        <v>45160.09</v>
      </c>
      <c r="V20" s="84"/>
      <c r="X20" s="82"/>
    </row>
    <row r="21" spans="1:24" ht="15.75">
      <c r="A21" s="75">
        <v>17</v>
      </c>
      <c r="B21" s="76" t="s">
        <v>21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7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77">
        <f t="shared" si="1"/>
        <v>0</v>
      </c>
      <c r="R21" s="78">
        <f t="shared" si="0"/>
        <v>0</v>
      </c>
      <c r="S21" s="79">
        <f t="shared" si="2"/>
        <v>0</v>
      </c>
      <c r="T21" s="107">
        <f>R21+PENS!E23+DIABET!C22+INS!C23+MIXT!E22+TESTE!C23+TESTE!D23+'COST VOLUM ONCO'!C22+ONCO!C22+POSTT!C22+SCLEROZ!C22+'CV UNICE'!C22+MUCOV!C22+MUCOV!D22</f>
        <v>0</v>
      </c>
      <c r="U21" s="108">
        <f>R21+PENS!C23</f>
        <v>0</v>
      </c>
      <c r="V21" s="88"/>
      <c r="X21" s="82"/>
    </row>
    <row r="22" spans="1:24" ht="15.75">
      <c r="A22" s="75">
        <v>18</v>
      </c>
      <c r="B22" s="76" t="s">
        <v>22</v>
      </c>
      <c r="C22" s="26">
        <v>2131.71</v>
      </c>
      <c r="D22" s="26">
        <v>1697.51</v>
      </c>
      <c r="E22" s="26">
        <v>1095.48</v>
      </c>
      <c r="F22" s="87">
        <v>7.29</v>
      </c>
      <c r="G22" s="86">
        <v>326.72</v>
      </c>
      <c r="H22" s="27"/>
      <c r="I22" s="26"/>
      <c r="J22" s="26"/>
      <c r="K22" s="26"/>
      <c r="L22" s="26"/>
      <c r="M22" s="26"/>
      <c r="N22" s="26"/>
      <c r="O22" s="26"/>
      <c r="P22" s="26"/>
      <c r="Q22" s="77">
        <f t="shared" si="1"/>
        <v>0</v>
      </c>
      <c r="R22" s="78">
        <f t="shared" si="0"/>
        <v>5258.710000000001</v>
      </c>
      <c r="S22" s="79">
        <f t="shared" si="2"/>
        <v>5258.710000000001</v>
      </c>
      <c r="T22" s="109">
        <f>R22+PENS!E24+DIABET!C23+INS!C24+MIXT!E23+TESTE!C24+TESTE!D24+'COST VOLUM ONCO'!C23+ONCO!C23+POSTT!C23+SCLEROZ!C23+'CV UNICE'!C23+MUCOV!C23+MUCOV!D23</f>
        <v>6432.760000000001</v>
      </c>
      <c r="U22" s="108">
        <f>R22+PENS!C24</f>
        <v>5779.500000000001</v>
      </c>
      <c r="V22" s="84"/>
      <c r="X22" s="82"/>
    </row>
    <row r="23" spans="1:24" ht="15.75">
      <c r="A23" s="75">
        <v>19</v>
      </c>
      <c r="B23" s="76" t="s">
        <v>23</v>
      </c>
      <c r="C23" s="26">
        <f>2656.38+3906.8+1626.32+3064.87</f>
        <v>11254.369999999999</v>
      </c>
      <c r="D23" s="26">
        <f>4152.39+4104.47+1294.36+4097.71</f>
        <v>13648.93</v>
      </c>
      <c r="E23" s="26">
        <f>442.2+737.14+1221.1+3234.09</f>
        <v>5634.53</v>
      </c>
      <c r="F23" s="26">
        <f>214.78+927.32+199.68+427.68</f>
        <v>1769.4600000000003</v>
      </c>
      <c r="G23" s="26">
        <f>582.59+308.52+179.2+557.73</f>
        <v>1628.04</v>
      </c>
      <c r="H23" s="27"/>
      <c r="I23" s="26"/>
      <c r="J23" s="26"/>
      <c r="K23" s="26"/>
      <c r="L23" s="26"/>
      <c r="M23" s="26"/>
      <c r="N23" s="26"/>
      <c r="O23" s="26"/>
      <c r="P23" s="26"/>
      <c r="Q23" s="77">
        <f t="shared" si="1"/>
        <v>0</v>
      </c>
      <c r="R23" s="78">
        <f t="shared" si="0"/>
        <v>33935.329999999994</v>
      </c>
      <c r="S23" s="79">
        <f t="shared" si="2"/>
        <v>33935.329999999994</v>
      </c>
      <c r="T23" s="109">
        <f>R23+PENS!E25+DIABET!C24+INS!C25+MIXT!E24+TESTE!C25+TESTE!D25+'COST VOLUM ONCO'!C24+ONCO!C24+POSTT!C24+SCLEROZ!C24+'CV UNICE'!C24+MUCOV!C24+MUCOV!D24</f>
        <v>37167.439999999995</v>
      </c>
      <c r="U23" s="108">
        <f>R23+PENS!C25</f>
        <v>34721.079999999994</v>
      </c>
      <c r="V23" s="84"/>
      <c r="X23" s="82"/>
    </row>
    <row r="24" spans="1:24" ht="15.75">
      <c r="A24" s="75">
        <v>20</v>
      </c>
      <c r="B24" s="76" t="s">
        <v>24</v>
      </c>
      <c r="C24" s="26">
        <v>18358.77</v>
      </c>
      <c r="D24" s="26">
        <v>18277.27</v>
      </c>
      <c r="E24" s="26">
        <v>11648.27</v>
      </c>
      <c r="F24" s="26">
        <v>833.46</v>
      </c>
      <c r="G24" s="26">
        <v>3985.91</v>
      </c>
      <c r="H24" s="27">
        <v>1131.74</v>
      </c>
      <c r="I24" s="26"/>
      <c r="J24" s="26">
        <v>5565.73</v>
      </c>
      <c r="K24" s="26"/>
      <c r="L24" s="26"/>
      <c r="M24" s="26"/>
      <c r="N24" s="26"/>
      <c r="O24" s="26"/>
      <c r="P24" s="26"/>
      <c r="Q24" s="77">
        <f t="shared" si="1"/>
        <v>6697.469999999999</v>
      </c>
      <c r="R24" s="78">
        <f t="shared" si="0"/>
        <v>59801.149999999994</v>
      </c>
      <c r="S24" s="79">
        <f t="shared" si="2"/>
        <v>53103.67999999999</v>
      </c>
      <c r="T24" s="109">
        <f>R24+PENS!E26+DIABET!C25+INS!C26+MIXT!E25+TESTE!C26+TESTE!D26+'COST VOLUM ONCO'!C25+ONCO!C25+POSTT!C25+SCLEROZ!C25+'CV UNICE'!C25+MUCOV!C25+MUCOV!D25</f>
        <v>99546.42</v>
      </c>
      <c r="U24" s="108">
        <f>R24+PENS!C26</f>
        <v>62423.81</v>
      </c>
      <c r="V24" s="84"/>
      <c r="X24" s="82"/>
    </row>
    <row r="25" spans="1:24" ht="15.75">
      <c r="A25" s="75">
        <v>21</v>
      </c>
      <c r="B25" s="76" t="s">
        <v>25</v>
      </c>
      <c r="C25" s="26">
        <f>16486.47+11147+17353.06+2855.36+4582.07+1558.6</f>
        <v>53982.56</v>
      </c>
      <c r="D25" s="26">
        <f>21036.01+10192.19+15459.35+3116.55+2519.64+1578.18</f>
        <v>53901.92</v>
      </c>
      <c r="E25" s="26">
        <f>30529.35+3181.96+12234.39+1184.63+382.35+171.79</f>
        <v>47684.469999999994</v>
      </c>
      <c r="F25" s="26">
        <f>1963.52+1714.05+1203.24+288.23+4788.51+347.6</f>
        <v>10305.15</v>
      </c>
      <c r="G25" s="26">
        <f>2432.4+793+3014.12+258.69+97.23+72.99</f>
        <v>6668.429999999999</v>
      </c>
      <c r="H25" s="27">
        <v>1485.42</v>
      </c>
      <c r="I25" s="26"/>
      <c r="J25" s="26"/>
      <c r="K25" s="26"/>
      <c r="L25" s="26">
        <v>5978.85</v>
      </c>
      <c r="M25" s="26"/>
      <c r="N25" s="26"/>
      <c r="O25" s="26"/>
      <c r="P25" s="26"/>
      <c r="Q25" s="77">
        <f t="shared" si="1"/>
        <v>7464.27</v>
      </c>
      <c r="R25" s="78">
        <f t="shared" si="0"/>
        <v>180006.8</v>
      </c>
      <c r="S25" s="79">
        <f t="shared" si="2"/>
        <v>172542.53</v>
      </c>
      <c r="T25" s="109">
        <f>R25+PENS!E27+DIABET!C26+INS!C27+MIXT!E26+TESTE!C27+TESTE!D27+'COST VOLUM ONCO'!C26+ONCO!C26+POSTT!C26+SCLEROZ!C26+'CV UNICE'!C26+MUCOV!C26+MUCOV!D26</f>
        <v>324019.06999999995</v>
      </c>
      <c r="U25" s="108">
        <f>R25+PENS!C27</f>
        <v>185901.28999999998</v>
      </c>
      <c r="V25" s="84"/>
      <c r="X25" s="82"/>
    </row>
    <row r="26" spans="1:24" ht="15.75">
      <c r="A26" s="75">
        <v>22</v>
      </c>
      <c r="B26" s="76" t="s">
        <v>26</v>
      </c>
      <c r="C26" s="26">
        <v>6208.99</v>
      </c>
      <c r="D26" s="26">
        <v>4246.71</v>
      </c>
      <c r="E26" s="26">
        <v>3030.3</v>
      </c>
      <c r="F26" s="26">
        <v>524.94</v>
      </c>
      <c r="G26" s="26">
        <v>755.29</v>
      </c>
      <c r="H26" s="27"/>
      <c r="I26" s="26"/>
      <c r="J26" s="26"/>
      <c r="K26" s="26"/>
      <c r="L26" s="26"/>
      <c r="M26" s="26"/>
      <c r="N26" s="26"/>
      <c r="O26" s="26"/>
      <c r="P26" s="26"/>
      <c r="Q26" s="77">
        <f t="shared" si="1"/>
        <v>0</v>
      </c>
      <c r="R26" s="78">
        <f t="shared" si="0"/>
        <v>14766.23</v>
      </c>
      <c r="S26" s="79">
        <f t="shared" si="2"/>
        <v>14766.23</v>
      </c>
      <c r="T26" s="109">
        <f>R26+PENS!E28+DIABET!C27+INS!C28+MIXT!E27+TESTE!C28+TESTE!D28+'COST VOLUM ONCO'!C27+ONCO!C27+POSTT!C27+SCLEROZ!C27+'CV UNICE'!C27+MUCOV!C27+MUCOV!D27</f>
        <v>18925.88</v>
      </c>
      <c r="U26" s="108">
        <f>R26+PENS!C28</f>
        <v>15771.98</v>
      </c>
      <c r="V26" s="84"/>
      <c r="X26" s="82"/>
    </row>
    <row r="27" spans="1:24" ht="15.75">
      <c r="A27" s="75">
        <v>23</v>
      </c>
      <c r="B27" s="76" t="s">
        <v>27</v>
      </c>
      <c r="C27" s="26">
        <f>6497.27+2902.05</f>
        <v>9399.32</v>
      </c>
      <c r="D27" s="26">
        <f>5384.16+3409.61</f>
        <v>8793.77</v>
      </c>
      <c r="E27" s="26">
        <f>5283.4+1179.16</f>
        <v>6462.5599999999995</v>
      </c>
      <c r="F27" s="26">
        <f>1450.44+217.58</f>
        <v>1668.02</v>
      </c>
      <c r="G27" s="26">
        <f>445.59+285.05</f>
        <v>730.64</v>
      </c>
      <c r="H27" s="27"/>
      <c r="I27" s="26"/>
      <c r="J27" s="26"/>
      <c r="K27" s="26"/>
      <c r="L27" s="26"/>
      <c r="M27" s="26"/>
      <c r="N27" s="26"/>
      <c r="O27" s="26"/>
      <c r="P27" s="26"/>
      <c r="Q27" s="77">
        <f t="shared" si="1"/>
        <v>0</v>
      </c>
      <c r="R27" s="78">
        <f t="shared" si="0"/>
        <v>27054.31</v>
      </c>
      <c r="S27" s="79">
        <f t="shared" si="2"/>
        <v>27054.31</v>
      </c>
      <c r="T27" s="109">
        <f>R27+PENS!E29+DIABET!C28+INS!C29+MIXT!E28+TESTE!C29+TESTE!D29+'COST VOLUM ONCO'!C28+ONCO!C28+POSTT!C28+SCLEROZ!C28+'CV UNICE'!C28+MUCOV!C28+MUCOV!D28</f>
        <v>37572.899999999994</v>
      </c>
      <c r="U27" s="108">
        <f>R27+PENS!C29</f>
        <v>29642.600000000002</v>
      </c>
      <c r="V27" s="84"/>
      <c r="X27" s="82"/>
    </row>
    <row r="28" spans="1:24" ht="15.75">
      <c r="A28" s="75">
        <v>24</v>
      </c>
      <c r="B28" s="76" t="s">
        <v>28</v>
      </c>
      <c r="C28" s="26">
        <f>13796.01+11521.8+12940.17+8058.75</f>
        <v>46316.729999999996</v>
      </c>
      <c r="D28" s="26">
        <f>15848.63+18705.36+21521.95+11300.99</f>
        <v>67376.93000000001</v>
      </c>
      <c r="E28" s="26">
        <f>7228.44+10509.29+21455.2+2304.17</f>
        <v>41497.1</v>
      </c>
      <c r="F28" s="26">
        <f>1271.13+648.48+624.38+1187.82</f>
        <v>3731.8100000000004</v>
      </c>
      <c r="G28" s="26">
        <f>1588.9+1404+1602.22+1340.14</f>
        <v>5935.26</v>
      </c>
      <c r="H28" s="26">
        <f>446.41+742.68</f>
        <v>1189.09</v>
      </c>
      <c r="I28" s="26"/>
      <c r="J28" s="26">
        <v>4452.58</v>
      </c>
      <c r="K28" s="26">
        <v>5357.95</v>
      </c>
      <c r="L28" s="26">
        <f>4223.6+72029.14+2678.97</f>
        <v>78931.71</v>
      </c>
      <c r="M28" s="26">
        <f>2678.97+2678.97</f>
        <v>5357.94</v>
      </c>
      <c r="N28" s="26">
        <v>9376.39</v>
      </c>
      <c r="O28" s="26"/>
      <c r="P28" s="26">
        <v>26789.7</v>
      </c>
      <c r="Q28" s="77">
        <f t="shared" si="1"/>
        <v>131455.36000000002</v>
      </c>
      <c r="R28" s="78">
        <f t="shared" si="0"/>
        <v>296313.19000000006</v>
      </c>
      <c r="S28" s="79">
        <f t="shared" si="2"/>
        <v>164857.83000000005</v>
      </c>
      <c r="T28" s="109">
        <f>R28+PENS!E30+DIABET!C29+INS!C30+MIXT!E29+TESTE!C30+TESTE!D30+'COST VOLUM ONCO'!C29+ONCO!C29+POSTT!C29+SCLEROZ!C29+'CV UNICE'!C29+MUCOV!C29+MUCOV!D29</f>
        <v>597644.7000000001</v>
      </c>
      <c r="U28" s="108">
        <f>R28+PENS!C30</f>
        <v>302391.11000000004</v>
      </c>
      <c r="V28" s="84"/>
      <c r="X28" s="82"/>
    </row>
    <row r="29" spans="1:24" ht="15.75">
      <c r="A29" s="75">
        <v>25</v>
      </c>
      <c r="B29" s="76" t="s">
        <v>29</v>
      </c>
      <c r="C29" s="26">
        <v>3198.13</v>
      </c>
      <c r="D29" s="26">
        <v>5052.29</v>
      </c>
      <c r="E29" s="26">
        <v>2282.35</v>
      </c>
      <c r="F29" s="26">
        <v>80.05</v>
      </c>
      <c r="G29" s="26">
        <v>446.13</v>
      </c>
      <c r="H29" s="27"/>
      <c r="I29" s="26"/>
      <c r="J29" s="26"/>
      <c r="K29" s="26"/>
      <c r="L29" s="26"/>
      <c r="M29" s="26"/>
      <c r="N29" s="26"/>
      <c r="O29" s="26"/>
      <c r="P29" s="26"/>
      <c r="Q29" s="77">
        <f t="shared" si="1"/>
        <v>0</v>
      </c>
      <c r="R29" s="78">
        <f t="shared" si="0"/>
        <v>11058.949999999999</v>
      </c>
      <c r="S29" s="79">
        <f t="shared" si="2"/>
        <v>11058.949999999999</v>
      </c>
      <c r="T29" s="109">
        <f>R29+PENS!E31+DIABET!C30+INS!C31+MIXT!E30+TESTE!C31+TESTE!D31+'COST VOLUM ONCO'!C30+ONCO!C30+POSTT!C30+SCLEROZ!C30+'CV UNICE'!C30+MUCOV!C30+MUCOV!D30</f>
        <v>97064.54</v>
      </c>
      <c r="U29" s="108">
        <f>R29+PENS!C31</f>
        <v>11162.589999999998</v>
      </c>
      <c r="V29" s="84"/>
      <c r="X29" s="82"/>
    </row>
    <row r="30" spans="1:24" ht="15.75">
      <c r="A30" s="75">
        <v>26</v>
      </c>
      <c r="B30" s="76" t="s">
        <v>30</v>
      </c>
      <c r="C30" s="26">
        <f>13812.53+6720.97</f>
        <v>20533.5</v>
      </c>
      <c r="D30" s="26">
        <f>12613.27+4842.79</f>
        <v>17456.06</v>
      </c>
      <c r="E30" s="26">
        <f>5311.83+3277.32</f>
        <v>8589.15</v>
      </c>
      <c r="F30" s="26">
        <f>1779.7+1211.54</f>
        <v>2991.24</v>
      </c>
      <c r="G30" s="26">
        <f>1601.91+1007.68</f>
        <v>2609.59</v>
      </c>
      <c r="H30" s="27"/>
      <c r="I30" s="26"/>
      <c r="J30" s="26"/>
      <c r="K30" s="26"/>
      <c r="L30" s="26">
        <v>3260.32</v>
      </c>
      <c r="M30" s="26"/>
      <c r="N30" s="26"/>
      <c r="O30" s="26"/>
      <c r="P30" s="26"/>
      <c r="Q30" s="77">
        <f t="shared" si="1"/>
        <v>3260.32</v>
      </c>
      <c r="R30" s="78">
        <f t="shared" si="0"/>
        <v>55439.85999999999</v>
      </c>
      <c r="S30" s="79">
        <f t="shared" si="2"/>
        <v>52179.53999999999</v>
      </c>
      <c r="T30" s="109">
        <f>R30+PENS!E32+DIABET!C31+INS!C32+MIXT!E31+TESTE!C32+TESTE!D32+'COST VOLUM ONCO'!C31+ONCO!C31+POSTT!C31+SCLEROZ!C31+'CV UNICE'!C31+MUCOV!C31+MUCOV!D31</f>
        <v>70645.71</v>
      </c>
      <c r="U30" s="108">
        <f>R30+PENS!C32</f>
        <v>57838.689999999995</v>
      </c>
      <c r="V30" s="84"/>
      <c r="X30" s="82"/>
    </row>
    <row r="31" spans="1:24" ht="15.75">
      <c r="A31" s="75">
        <v>27</v>
      </c>
      <c r="B31" s="76" t="s">
        <v>31</v>
      </c>
      <c r="C31" s="26">
        <f>4969.59+4041.64</f>
        <v>9011.23</v>
      </c>
      <c r="D31" s="26">
        <f>5272.49+3092.32</f>
        <v>8364.81</v>
      </c>
      <c r="E31" s="26">
        <f>10730.52+2449.75</f>
        <v>13180.27</v>
      </c>
      <c r="F31" s="26">
        <f>891.97+88.08</f>
        <v>980.0500000000001</v>
      </c>
      <c r="G31" s="26">
        <f>706.84+292.12</f>
        <v>998.96</v>
      </c>
      <c r="H31" s="27"/>
      <c r="I31" s="26"/>
      <c r="J31" s="26"/>
      <c r="K31" s="26"/>
      <c r="L31" s="26"/>
      <c r="M31" s="26"/>
      <c r="N31" s="26"/>
      <c r="O31" s="26"/>
      <c r="P31" s="26"/>
      <c r="Q31" s="77">
        <f t="shared" si="1"/>
        <v>0</v>
      </c>
      <c r="R31" s="78">
        <f t="shared" si="0"/>
        <v>32535.32</v>
      </c>
      <c r="S31" s="79">
        <f t="shared" si="2"/>
        <v>32535.32</v>
      </c>
      <c r="T31" s="109">
        <f>R31+PENS!E33+DIABET!C32+INS!C33+MIXT!E32+TESTE!C33+TESTE!D33+'COST VOLUM ONCO'!C32+ONCO!C32+POSTT!C32+SCLEROZ!C32+'CV UNICE'!C32+MUCOV!C32+MUCOV!D32</f>
        <v>40744.08</v>
      </c>
      <c r="U31" s="108">
        <f>R31+PENS!C33</f>
        <v>34551.14</v>
      </c>
      <c r="V31" s="84"/>
      <c r="X31" s="82"/>
    </row>
    <row r="32" spans="1:24" ht="15.75">
      <c r="A32" s="75">
        <v>28</v>
      </c>
      <c r="B32" s="76" t="s">
        <v>32</v>
      </c>
      <c r="C32" s="26">
        <f>17031.58+15134.13+16149.18</f>
        <v>48314.89</v>
      </c>
      <c r="D32" s="26">
        <f>26733.83+22431.77+16242.44</f>
        <v>65408.04000000001</v>
      </c>
      <c r="E32" s="26">
        <f>9268.85+7632.26+4291.94</f>
        <v>21193.05</v>
      </c>
      <c r="F32" s="26">
        <f>1877.88+1367.84+795.53</f>
        <v>4041.25</v>
      </c>
      <c r="G32" s="26">
        <f>2294.36+2622.3+2283.02</f>
        <v>7199.68</v>
      </c>
      <c r="H32" s="27"/>
      <c r="I32" s="26"/>
      <c r="J32" s="26"/>
      <c r="K32" s="26"/>
      <c r="L32" s="26"/>
      <c r="M32" s="26">
        <v>2678.98</v>
      </c>
      <c r="N32" s="26"/>
      <c r="O32" s="26"/>
      <c r="P32" s="26"/>
      <c r="Q32" s="77">
        <f t="shared" si="1"/>
        <v>2678.98</v>
      </c>
      <c r="R32" s="78">
        <f t="shared" si="0"/>
        <v>148835.89</v>
      </c>
      <c r="S32" s="79">
        <f t="shared" si="2"/>
        <v>146156.91</v>
      </c>
      <c r="T32" s="109">
        <f>R32+PENS!E34+DIABET!C33+INS!C34+MIXT!E33+TESTE!C34+TESTE!D34+'COST VOLUM ONCO'!C33+ONCO!C33+POSTT!C33+SCLEROZ!C33+'CV UNICE'!C33+MUCOV!C33+MUCOV!D33</f>
        <v>253240.68999999997</v>
      </c>
      <c r="U32" s="108">
        <f>R32+PENS!C34</f>
        <v>156598.56000000003</v>
      </c>
      <c r="V32" s="84"/>
      <c r="X32" s="82"/>
    </row>
    <row r="33" spans="1:24" ht="15.75">
      <c r="A33" s="75">
        <v>29</v>
      </c>
      <c r="B33" s="76" t="s">
        <v>33</v>
      </c>
      <c r="C33" s="26">
        <f>29801.88+3051.41</f>
        <v>32853.29</v>
      </c>
      <c r="D33" s="26">
        <f>36813.45+3251.31</f>
        <v>40064.759999999995</v>
      </c>
      <c r="E33" s="26">
        <f>11275.85+695.87</f>
        <v>11971.720000000001</v>
      </c>
      <c r="F33" s="26">
        <f>3850.97+536.46</f>
        <v>4387.43</v>
      </c>
      <c r="G33" s="26">
        <f>4505.92+471.56</f>
        <v>4977.4800000000005</v>
      </c>
      <c r="H33" s="27">
        <v>3471.3</v>
      </c>
      <c r="I33" s="26"/>
      <c r="J33" s="26">
        <v>1833.6</v>
      </c>
      <c r="K33" s="26"/>
      <c r="L33" s="26"/>
      <c r="M33" s="26"/>
      <c r="N33" s="26">
        <v>5357.96</v>
      </c>
      <c r="O33" s="26"/>
      <c r="P33" s="26"/>
      <c r="Q33" s="77">
        <f t="shared" si="1"/>
        <v>10662.86</v>
      </c>
      <c r="R33" s="78">
        <f t="shared" si="0"/>
        <v>104917.54</v>
      </c>
      <c r="S33" s="79">
        <f t="shared" si="2"/>
        <v>94254.68</v>
      </c>
      <c r="T33" s="109">
        <f>R33+PENS!E35+DIABET!C34+INS!C35+MIXT!E34+TESTE!C35+TESTE!D35+'COST VOLUM ONCO'!C34+ONCO!C34+POSTT!C34+SCLEROZ!C34+'CV UNICE'!C34+MUCOV!C34+MUCOV!D34</f>
        <v>140691.09</v>
      </c>
      <c r="U33" s="108">
        <f>R33+PENS!C35</f>
        <v>113134.70999999999</v>
      </c>
      <c r="V33" s="84"/>
      <c r="X33" s="82"/>
    </row>
    <row r="34" spans="1:24" ht="15.75">
      <c r="A34" s="75">
        <v>30</v>
      </c>
      <c r="B34" s="76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77">
        <f t="shared" si="1"/>
        <v>0</v>
      </c>
      <c r="R34" s="78">
        <f t="shared" si="0"/>
        <v>0</v>
      </c>
      <c r="S34" s="79">
        <f t="shared" si="2"/>
        <v>0</v>
      </c>
      <c r="T34" s="107">
        <f>R34+PENS!E36+DIABET!C35+INS!C36+MIXT!E35+TESTE!C36+TESTE!D36+'COST VOLUM ONCO'!C35+ONCO!C35+POSTT!C35+SCLEROZ!C35+'CV UNICE'!C35+MUCOV!C35+MUCOV!D35</f>
        <v>0</v>
      </c>
      <c r="U34" s="108">
        <f>R34+PENS!C36</f>
        <v>0</v>
      </c>
      <c r="V34" s="88"/>
      <c r="X34" s="82"/>
    </row>
    <row r="35" spans="1:24" ht="15.75">
      <c r="A35" s="75">
        <v>31</v>
      </c>
      <c r="B35" s="76" t="s">
        <v>87</v>
      </c>
      <c r="C35" s="26">
        <v>3459.59</v>
      </c>
      <c r="D35" s="26">
        <v>3218.82</v>
      </c>
      <c r="E35" s="26">
        <v>1543.29</v>
      </c>
      <c r="F35" s="26">
        <v>352.21</v>
      </c>
      <c r="G35" s="26">
        <v>403.27</v>
      </c>
      <c r="H35" s="27"/>
      <c r="I35" s="26"/>
      <c r="J35" s="26"/>
      <c r="K35" s="26"/>
      <c r="L35" s="26"/>
      <c r="M35" s="26"/>
      <c r="N35" s="26"/>
      <c r="O35" s="26"/>
      <c r="P35" s="26"/>
      <c r="Q35" s="77">
        <f t="shared" si="1"/>
        <v>0</v>
      </c>
      <c r="R35" s="78">
        <f t="shared" si="0"/>
        <v>8977.18</v>
      </c>
      <c r="S35" s="79">
        <f t="shared" si="2"/>
        <v>8977.18</v>
      </c>
      <c r="T35" s="109">
        <f>R35+PENS!E37+DIABET!C36+INS!C37+MIXT!E36+TESTE!C37+TESTE!D37+'COST VOLUM ONCO'!C36+ONCO!C36+POSTT!C36+SCLEROZ!C36+'CV UNICE'!C36+MUCOV!C36+MUCOV!D36</f>
        <v>12819.85</v>
      </c>
      <c r="U35" s="108">
        <f>R35+PENS!C37</f>
        <v>9633.25</v>
      </c>
      <c r="V35" s="84"/>
      <c r="X35" s="82"/>
    </row>
    <row r="36" spans="1:24" ht="15.75">
      <c r="A36" s="75">
        <v>32</v>
      </c>
      <c r="B36" s="76" t="s">
        <v>89</v>
      </c>
      <c r="C36" s="26">
        <f>10857.34+3035.5+3063.67+4527.55</f>
        <v>21484.06</v>
      </c>
      <c r="D36" s="26">
        <f>13279.96+3284.64+2397.24+4553.77</f>
        <v>23515.609999999997</v>
      </c>
      <c r="E36" s="26">
        <f>12628.91+1356.48+2562.82+2942.59</f>
        <v>19490.8</v>
      </c>
      <c r="F36" s="26">
        <f>1528.79+142.31+154.4+860.89</f>
        <v>2686.39</v>
      </c>
      <c r="G36" s="26">
        <f>1090.85+455.66+414.34+344.63</f>
        <v>2305.48</v>
      </c>
      <c r="H36" s="27"/>
      <c r="I36" s="26"/>
      <c r="J36" s="26">
        <v>3667.2</v>
      </c>
      <c r="K36" s="26"/>
      <c r="L36" s="26"/>
      <c r="M36" s="26">
        <v>3299.87</v>
      </c>
      <c r="N36" s="26">
        <v>2678.98</v>
      </c>
      <c r="O36" s="26"/>
      <c r="P36" s="26"/>
      <c r="Q36" s="77">
        <f t="shared" si="1"/>
        <v>9646.05</v>
      </c>
      <c r="R36" s="78">
        <f t="shared" si="0"/>
        <v>79128.38999999998</v>
      </c>
      <c r="S36" s="79">
        <f t="shared" si="2"/>
        <v>69482.33999999998</v>
      </c>
      <c r="T36" s="109">
        <f>R36+PENS!E38+DIABET!C37+INS!C38+MIXT!E37+TESTE!C38+TESTE!D38+'COST VOLUM ONCO'!C37+ONCO!C37+POSTT!C37+SCLEROZ!C37+'CV UNICE'!C37+MUCOV!C37+MUCOV!D37</f>
        <v>137028.13999999998</v>
      </c>
      <c r="U36" s="108">
        <f>R36+PENS!C38</f>
        <v>81738.32999999999</v>
      </c>
      <c r="V36" s="84"/>
      <c r="X36" s="82"/>
    </row>
    <row r="37" spans="1:24" ht="15.75">
      <c r="A37" s="75">
        <v>33</v>
      </c>
      <c r="B37" s="76" t="s">
        <v>90</v>
      </c>
      <c r="C37" s="26">
        <v>15121.69</v>
      </c>
      <c r="D37" s="26">
        <v>20879.48</v>
      </c>
      <c r="E37" s="26">
        <v>9548.85</v>
      </c>
      <c r="F37" s="26">
        <v>1355.29</v>
      </c>
      <c r="G37" s="26">
        <v>2019.05</v>
      </c>
      <c r="H37" s="27"/>
      <c r="I37" s="26"/>
      <c r="J37" s="26"/>
      <c r="K37" s="26"/>
      <c r="L37" s="26"/>
      <c r="M37" s="26"/>
      <c r="N37" s="26"/>
      <c r="O37" s="26"/>
      <c r="P37" s="26"/>
      <c r="Q37" s="77">
        <f t="shared" si="1"/>
        <v>0</v>
      </c>
      <c r="R37" s="78">
        <f t="shared" si="0"/>
        <v>48924.36</v>
      </c>
      <c r="S37" s="79">
        <f t="shared" si="2"/>
        <v>48924.36</v>
      </c>
      <c r="T37" s="109">
        <f>R37+PENS!E39+DIABET!C38+INS!C39+MIXT!E38+TESTE!C39+TESTE!D39+'COST VOLUM ONCO'!C38+ONCO!C38+POSTT!C38+SCLEROZ!C38+'CV UNICE'!C38+MUCOV!C38+MUCOV!D38</f>
        <v>101794.93</v>
      </c>
      <c r="U37" s="108">
        <f>R37+PENS!C39</f>
        <v>52852.58</v>
      </c>
      <c r="V37" s="84"/>
      <c r="X37" s="82"/>
    </row>
    <row r="38" spans="1:24" ht="15.75">
      <c r="A38" s="75">
        <v>34</v>
      </c>
      <c r="B38" s="76" t="s">
        <v>93</v>
      </c>
      <c r="C38" s="26">
        <v>8236.18</v>
      </c>
      <c r="D38" s="26">
        <v>6151.73</v>
      </c>
      <c r="E38" s="26">
        <v>5337.39</v>
      </c>
      <c r="F38" s="26">
        <v>854.55</v>
      </c>
      <c r="G38" s="26">
        <v>996.27</v>
      </c>
      <c r="H38" s="27"/>
      <c r="I38" s="26"/>
      <c r="J38" s="26"/>
      <c r="K38" s="26"/>
      <c r="L38" s="26"/>
      <c r="M38" s="26"/>
      <c r="N38" s="26"/>
      <c r="O38" s="26"/>
      <c r="P38" s="26"/>
      <c r="Q38" s="77">
        <f t="shared" si="1"/>
        <v>0</v>
      </c>
      <c r="R38" s="78">
        <f t="shared" si="0"/>
        <v>21576.12</v>
      </c>
      <c r="S38" s="79">
        <f t="shared" si="2"/>
        <v>21576.12</v>
      </c>
      <c r="T38" s="109">
        <f>R38+PENS!E40+DIABET!C39+INS!C40+MIXT!E39+TESTE!C40+TESTE!D40+'COST VOLUM ONCO'!C39+ONCO!C39+POSTT!C39+SCLEROZ!C39+'CV UNICE'!C39+MUCOV!C39+MUCOV!D39</f>
        <v>26293.62</v>
      </c>
      <c r="U38" s="108">
        <f>R38+PENS!C40</f>
        <v>23539.48</v>
      </c>
      <c r="V38" s="84"/>
      <c r="X38" s="82"/>
    </row>
    <row r="39" spans="1:24" ht="15.75">
      <c r="A39" s="75">
        <v>35</v>
      </c>
      <c r="B39" s="76" t="s">
        <v>94</v>
      </c>
      <c r="C39" s="26">
        <v>5633.24</v>
      </c>
      <c r="D39" s="26">
        <v>4343.66</v>
      </c>
      <c r="E39" s="26">
        <v>5196.34</v>
      </c>
      <c r="F39" s="26">
        <v>126.77</v>
      </c>
      <c r="G39" s="26">
        <v>392.43</v>
      </c>
      <c r="H39" s="27"/>
      <c r="I39" s="26"/>
      <c r="J39" s="26"/>
      <c r="K39" s="26"/>
      <c r="L39" s="26"/>
      <c r="M39" s="26"/>
      <c r="N39" s="26"/>
      <c r="O39" s="26"/>
      <c r="P39" s="26"/>
      <c r="Q39" s="77">
        <f t="shared" si="1"/>
        <v>0</v>
      </c>
      <c r="R39" s="78">
        <f t="shared" si="0"/>
        <v>15692.44</v>
      </c>
      <c r="S39" s="79">
        <f t="shared" si="2"/>
        <v>15692.44</v>
      </c>
      <c r="T39" s="109">
        <f>R39+PENS!E41+DIABET!C40+INS!C41+MIXT!E40+TESTE!C41+TESTE!D41+'COST VOLUM ONCO'!C40+ONCO!C40+POSTT!C40+SCLEROZ!C40+'CV UNICE'!C40+MUCOV!C40+MUCOV!D40</f>
        <v>17500.719999999998</v>
      </c>
      <c r="U39" s="108">
        <f>R39+PENS!C41</f>
        <v>16182.69</v>
      </c>
      <c r="V39" s="84"/>
      <c r="X39" s="82"/>
    </row>
    <row r="40" spans="1:59" s="68" customFormat="1" ht="15.75">
      <c r="A40" s="75">
        <v>36</v>
      </c>
      <c r="B40" s="76" t="s">
        <v>98</v>
      </c>
      <c r="C40" s="26">
        <v>7063.7</v>
      </c>
      <c r="D40" s="26">
        <v>7939.96</v>
      </c>
      <c r="E40" s="26">
        <v>6653.93</v>
      </c>
      <c r="F40" s="26">
        <v>1209.28</v>
      </c>
      <c r="G40" s="26">
        <v>1052.94</v>
      </c>
      <c r="H40" s="26"/>
      <c r="I40" s="26"/>
      <c r="J40" s="26"/>
      <c r="K40" s="26"/>
      <c r="L40" s="26"/>
      <c r="M40" s="26"/>
      <c r="N40" s="26"/>
      <c r="O40" s="26"/>
      <c r="P40" s="26"/>
      <c r="Q40" s="77">
        <f t="shared" si="1"/>
        <v>0</v>
      </c>
      <c r="R40" s="78">
        <f t="shared" si="0"/>
        <v>23919.809999999998</v>
      </c>
      <c r="S40" s="79">
        <f t="shared" si="2"/>
        <v>23919.809999999998</v>
      </c>
      <c r="T40" s="109">
        <f>R40+PENS!E42+DIABET!C41+INS!C42+MIXT!E41+TESTE!C42+TESTE!D42+'COST VOLUM ONCO'!C41+ONCO!C41+POSTT!C41+SCLEROZ!C41+'CV UNICE'!C41+MUCOV!C41+MUCOV!D41</f>
        <v>29476.41</v>
      </c>
      <c r="U40" s="108">
        <f>R40+PENS!C42</f>
        <v>25684.429999999997</v>
      </c>
      <c r="V40" s="84"/>
      <c r="W40" s="4"/>
      <c r="X40" s="82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24" s="4" customFormat="1" ht="15.75">
      <c r="A41" s="75">
        <v>37</v>
      </c>
      <c r="B41" s="76" t="s">
        <v>113</v>
      </c>
      <c r="C41" s="26">
        <v>2661.59</v>
      </c>
      <c r="D41" s="26">
        <v>2131.61</v>
      </c>
      <c r="E41" s="26">
        <v>1208.66</v>
      </c>
      <c r="F41" s="26">
        <v>213.08</v>
      </c>
      <c r="G41" s="26">
        <v>471.58</v>
      </c>
      <c r="H41" s="26"/>
      <c r="I41" s="26"/>
      <c r="J41" s="26"/>
      <c r="K41" s="26"/>
      <c r="L41" s="26"/>
      <c r="M41" s="26"/>
      <c r="N41" s="26"/>
      <c r="O41" s="26"/>
      <c r="P41" s="26"/>
      <c r="Q41" s="77">
        <f t="shared" si="1"/>
        <v>0</v>
      </c>
      <c r="R41" s="78">
        <f t="shared" si="0"/>
        <v>6686.52</v>
      </c>
      <c r="S41" s="79">
        <f t="shared" si="2"/>
        <v>6686.52</v>
      </c>
      <c r="T41" s="109">
        <f>R41+PENS!E43+DIABET!C42+INS!C43+MIXT!E42+TESTE!C43+TESTE!D43+'COST VOLUM ONCO'!C42+ONCO!C42+POSTT!C42+SCLEROZ!C42+'CV UNICE'!C42+MUCOV!C42+MUCOV!D42</f>
        <v>7244.56</v>
      </c>
      <c r="U41" s="108">
        <f>R41+PENS!C43</f>
        <v>6830.400000000001</v>
      </c>
      <c r="V41" s="84"/>
      <c r="X41" s="82"/>
    </row>
    <row r="42" spans="1:24" s="4" customFormat="1" ht="16.5" thickBot="1">
      <c r="A42" s="75">
        <v>38</v>
      </c>
      <c r="B42" s="76" t="s">
        <v>114</v>
      </c>
      <c r="C42" s="26">
        <v>4839.65</v>
      </c>
      <c r="D42" s="26">
        <v>4780.58</v>
      </c>
      <c r="E42" s="26">
        <v>937.65</v>
      </c>
      <c r="F42" s="26">
        <v>2107.2</v>
      </c>
      <c r="G42" s="26">
        <v>738.18</v>
      </c>
      <c r="H42" s="26"/>
      <c r="I42" s="26"/>
      <c r="J42" s="26"/>
      <c r="K42" s="26"/>
      <c r="L42" s="26"/>
      <c r="M42" s="26"/>
      <c r="N42" s="26"/>
      <c r="O42" s="26"/>
      <c r="P42" s="26"/>
      <c r="Q42" s="77">
        <f t="shared" si="1"/>
        <v>0</v>
      </c>
      <c r="R42" s="78">
        <f t="shared" si="0"/>
        <v>13403.259999999998</v>
      </c>
      <c r="S42" s="79">
        <f t="shared" si="2"/>
        <v>13403.259999999998</v>
      </c>
      <c r="T42" s="107">
        <f>R42+PENS!E44+DIABET!C43+INS!C44+MIXT!E43+TESTE!C44+TESTE!D44+'COST VOLUM ONCO'!C43+ONCO!C43+POSTT!C43+SCLEROZ!C43+'CV UNICE'!C43+MUCOV!C43+MUCOV!D43</f>
        <v>15662.589999999998</v>
      </c>
      <c r="U42" s="108">
        <f>R42+PENS!C44</f>
        <v>13911.149999999998</v>
      </c>
      <c r="V42" s="84"/>
      <c r="X42" s="82"/>
    </row>
    <row r="43" spans="1:59" s="69" customFormat="1" ht="26.25" customHeight="1" thickBot="1">
      <c r="A43" s="77"/>
      <c r="B43" s="77" t="s">
        <v>35</v>
      </c>
      <c r="C43" s="77">
        <f>SUM(C5:C42)</f>
        <v>783351.41</v>
      </c>
      <c r="D43" s="77">
        <f aca="true" t="shared" si="3" ref="D43:P43">SUM(D5:D42)</f>
        <v>890855.2800000001</v>
      </c>
      <c r="E43" s="77">
        <f t="shared" si="3"/>
        <v>662352.5400000002</v>
      </c>
      <c r="F43" s="77">
        <f t="shared" si="3"/>
        <v>94486.29000000002</v>
      </c>
      <c r="G43" s="77">
        <f t="shared" si="3"/>
        <v>99573.95999999999</v>
      </c>
      <c r="H43" s="77">
        <f t="shared" si="3"/>
        <v>17122.17</v>
      </c>
      <c r="I43" s="77">
        <f t="shared" si="3"/>
        <v>247.57</v>
      </c>
      <c r="J43" s="77">
        <f t="shared" si="3"/>
        <v>23805.739999999998</v>
      </c>
      <c r="K43" s="77">
        <f t="shared" si="3"/>
        <v>26489.87</v>
      </c>
      <c r="L43" s="77">
        <f t="shared" si="3"/>
        <v>159543.68</v>
      </c>
      <c r="M43" s="77">
        <f t="shared" si="3"/>
        <v>12676.279999999999</v>
      </c>
      <c r="N43" s="77">
        <f t="shared" si="3"/>
        <v>68381.83</v>
      </c>
      <c r="O43" s="77">
        <f t="shared" si="3"/>
        <v>1815.63</v>
      </c>
      <c r="P43" s="77">
        <f t="shared" si="3"/>
        <v>36068.42</v>
      </c>
      <c r="Q43" s="77">
        <f t="shared" si="1"/>
        <v>346151.18999999994</v>
      </c>
      <c r="R43" s="78">
        <f t="shared" si="0"/>
        <v>2876770.6700000004</v>
      </c>
      <c r="S43" s="77">
        <f>SUM(S5:S42)</f>
        <v>2530619.48</v>
      </c>
      <c r="T43" s="107">
        <f>SUM(T5:T42)</f>
        <v>5416530.289999998</v>
      </c>
      <c r="U43" s="108">
        <f>R43+PENS!C45</f>
        <v>2990775.45</v>
      </c>
      <c r="V43" s="88"/>
      <c r="W43" s="4"/>
      <c r="X43" s="82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2:19" ht="15.75">
      <c r="B44" s="30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</row>
    <row r="45" spans="2:19" ht="15.75">
      <c r="B45" s="34"/>
      <c r="C45" s="31"/>
      <c r="D45" s="31"/>
      <c r="E45" s="31"/>
      <c r="F45" s="32"/>
      <c r="G45" s="32"/>
      <c r="H45" s="33"/>
      <c r="I45" s="31"/>
      <c r="J45" s="31"/>
      <c r="K45" s="31"/>
      <c r="L45" s="31"/>
      <c r="M45" s="31"/>
      <c r="N45" s="31"/>
      <c r="O45" s="31"/>
      <c r="P45" s="31"/>
      <c r="Q45" s="31"/>
      <c r="S45" s="33"/>
    </row>
    <row r="46" spans="2:18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  <c r="R46" s="3"/>
    </row>
    <row r="47" spans="2:17" ht="15">
      <c r="B47" s="9"/>
      <c r="C47" s="1"/>
      <c r="D47" s="1"/>
      <c r="E47" s="1"/>
      <c r="F47" s="2"/>
      <c r="G47" s="2"/>
      <c r="H47" s="17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spans="2:17" ht="15">
      <c r="B49" s="9"/>
      <c r="C49" s="1"/>
      <c r="D49" s="1"/>
      <c r="E49" s="1"/>
      <c r="F49" s="2"/>
      <c r="G49" s="2"/>
      <c r="H49" s="16"/>
      <c r="I49" s="1"/>
      <c r="J49" s="1"/>
      <c r="K49" s="1"/>
      <c r="L49" s="1"/>
      <c r="M49" s="1"/>
      <c r="N49" s="1"/>
      <c r="O49" s="1"/>
      <c r="P49" s="1"/>
      <c r="Q49" s="1"/>
    </row>
    <row r="50" spans="2:19" ht="12.75">
      <c r="B50" s="15"/>
      <c r="S50" s="85"/>
    </row>
    <row r="51" spans="2:12" ht="12.75">
      <c r="B51" s="10"/>
      <c r="F51" s="3"/>
      <c r="G51" s="3"/>
      <c r="L51" s="3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spans="2:19" ht="12.75">
      <c r="B62" s="11"/>
      <c r="C62" s="4"/>
      <c r="D62" s="4"/>
      <c r="E62" s="4"/>
      <c r="F62" s="4"/>
      <c r="G62" s="4"/>
      <c r="H62" s="19"/>
      <c r="I62" s="4"/>
      <c r="J62" s="4"/>
      <c r="K62" s="4"/>
      <c r="L62" s="4"/>
      <c r="M62" s="4"/>
      <c r="N62" s="4"/>
      <c r="O62" s="4"/>
      <c r="P62" s="4"/>
      <c r="Q62" s="4"/>
      <c r="R62" s="4"/>
      <c r="S62" s="14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9">
      <selection activeCell="F32" sqref="F32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02" t="s">
        <v>125</v>
      </c>
      <c r="B3" s="102"/>
      <c r="C3" s="102"/>
      <c r="D3" s="102"/>
      <c r="E3" s="102"/>
      <c r="F3" s="102"/>
      <c r="G3" s="102"/>
      <c r="H3" s="102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49" t="s">
        <v>0</v>
      </c>
      <c r="B5" s="49" t="s">
        <v>1</v>
      </c>
      <c r="C5" s="51" t="s">
        <v>51</v>
      </c>
      <c r="D5" s="48"/>
      <c r="E5" s="1"/>
      <c r="F5" s="1"/>
      <c r="G5" s="37"/>
      <c r="H5" s="37"/>
    </row>
    <row r="6" spans="1:8" ht="15">
      <c r="A6" s="40" t="s">
        <v>79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52</v>
      </c>
      <c r="B7" s="7" t="s">
        <v>39</v>
      </c>
      <c r="C7" s="47"/>
      <c r="D7" s="12"/>
      <c r="E7" s="1"/>
      <c r="F7" s="1"/>
      <c r="G7" s="37"/>
      <c r="H7" s="37"/>
    </row>
    <row r="8" spans="1:8" ht="15">
      <c r="A8" s="40" t="s">
        <v>53</v>
      </c>
      <c r="B8" s="7" t="s">
        <v>8</v>
      </c>
      <c r="C8" s="47"/>
      <c r="D8" s="12"/>
      <c r="E8" s="1"/>
      <c r="F8" s="1"/>
      <c r="G8" s="37"/>
      <c r="H8" s="37"/>
    </row>
    <row r="9" spans="1:8" ht="15">
      <c r="A9" s="40" t="s">
        <v>54</v>
      </c>
      <c r="B9" s="7" t="s">
        <v>9</v>
      </c>
      <c r="C9" s="47"/>
      <c r="D9" s="12"/>
      <c r="E9" s="1"/>
      <c r="F9" s="1"/>
      <c r="G9" s="37"/>
      <c r="H9" s="37"/>
    </row>
    <row r="10" spans="1:8" ht="15">
      <c r="A10" s="40" t="s">
        <v>55</v>
      </c>
      <c r="B10" s="7" t="s">
        <v>10</v>
      </c>
      <c r="C10" s="47"/>
      <c r="D10" s="12"/>
      <c r="E10" s="1"/>
      <c r="F10" s="1"/>
      <c r="G10" s="37"/>
      <c r="H10" s="37"/>
    </row>
    <row r="11" spans="1:8" ht="15">
      <c r="A11" s="40" t="s">
        <v>56</v>
      </c>
      <c r="B11" s="7" t="s">
        <v>11</v>
      </c>
      <c r="C11" s="47"/>
      <c r="D11" s="12"/>
      <c r="E11" s="1"/>
      <c r="F11" s="1"/>
      <c r="G11" s="37"/>
      <c r="H11" s="37"/>
    </row>
    <row r="12" spans="1:8" ht="15">
      <c r="A12" s="40" t="s">
        <v>57</v>
      </c>
      <c r="B12" s="7" t="s">
        <v>12</v>
      </c>
      <c r="C12" s="47"/>
      <c r="D12" s="12"/>
      <c r="E12" s="1"/>
      <c r="F12" s="1"/>
      <c r="G12" s="37"/>
      <c r="H12" s="37"/>
    </row>
    <row r="13" spans="1:8" ht="15">
      <c r="A13" s="40" t="s">
        <v>58</v>
      </c>
      <c r="B13" s="7" t="s">
        <v>13</v>
      </c>
      <c r="C13" s="47"/>
      <c r="D13" s="12"/>
      <c r="E13" s="1"/>
      <c r="F13" s="1"/>
      <c r="G13" s="37"/>
      <c r="H13" s="37"/>
    </row>
    <row r="14" spans="1:8" ht="15">
      <c r="A14" s="40" t="s">
        <v>59</v>
      </c>
      <c r="B14" s="7" t="s">
        <v>112</v>
      </c>
      <c r="C14" s="47"/>
      <c r="D14" s="12"/>
      <c r="E14" s="1"/>
      <c r="F14" s="1"/>
      <c r="G14" s="37"/>
      <c r="H14" s="37"/>
    </row>
    <row r="15" spans="1:8" ht="15">
      <c r="A15" s="40" t="s">
        <v>60</v>
      </c>
      <c r="B15" s="7" t="s">
        <v>14</v>
      </c>
      <c r="C15" s="8"/>
      <c r="D15" s="12"/>
      <c r="E15" s="1"/>
      <c r="F15" s="1"/>
      <c r="G15" s="37"/>
      <c r="H15" s="37"/>
    </row>
    <row r="16" spans="1:8" ht="15">
      <c r="A16" s="40" t="s">
        <v>61</v>
      </c>
      <c r="B16" s="7" t="s">
        <v>15</v>
      </c>
      <c r="C16" s="47"/>
      <c r="D16" s="12"/>
      <c r="E16" s="1"/>
      <c r="F16" s="1"/>
      <c r="G16" s="37"/>
      <c r="H16" s="37"/>
    </row>
    <row r="17" spans="1:8" ht="15">
      <c r="A17" s="40" t="s">
        <v>62</v>
      </c>
      <c r="B17" s="7" t="s">
        <v>40</v>
      </c>
      <c r="C17" s="47"/>
      <c r="D17" s="12"/>
      <c r="E17" s="1"/>
      <c r="F17" s="1"/>
      <c r="G17" s="37"/>
      <c r="H17" s="37"/>
    </row>
    <row r="18" spans="1:8" ht="15">
      <c r="A18" s="40" t="s">
        <v>63</v>
      </c>
      <c r="B18" s="7" t="s">
        <v>17</v>
      </c>
      <c r="C18" s="47"/>
      <c r="D18" s="12"/>
      <c r="E18" s="1"/>
      <c r="F18" s="1"/>
      <c r="G18" s="37"/>
      <c r="H18" s="37"/>
    </row>
    <row r="19" spans="1:8" ht="15">
      <c r="A19" s="40" t="s">
        <v>64</v>
      </c>
      <c r="B19" s="7" t="s">
        <v>18</v>
      </c>
      <c r="C19" s="47"/>
      <c r="D19" s="12"/>
      <c r="E19" s="1"/>
      <c r="F19" s="1"/>
      <c r="G19" s="37"/>
      <c r="H19" s="37"/>
    </row>
    <row r="20" spans="1:8" ht="15">
      <c r="A20" s="40" t="s">
        <v>65</v>
      </c>
      <c r="B20" s="7" t="s">
        <v>19</v>
      </c>
      <c r="C20" s="47"/>
      <c r="D20" s="12"/>
      <c r="E20" s="1"/>
      <c r="F20" s="1"/>
      <c r="G20" s="37"/>
      <c r="H20" s="37"/>
    </row>
    <row r="21" spans="1:8" ht="15">
      <c r="A21" s="40" t="s">
        <v>66</v>
      </c>
      <c r="B21" s="7" t="s">
        <v>20</v>
      </c>
      <c r="C21" s="47"/>
      <c r="D21" s="12"/>
      <c r="E21" s="1"/>
      <c r="F21" s="1"/>
      <c r="G21" s="37"/>
      <c r="H21" s="37"/>
    </row>
    <row r="22" spans="1:8" ht="15">
      <c r="A22" s="40" t="s">
        <v>67</v>
      </c>
      <c r="B22" s="7" t="s">
        <v>21</v>
      </c>
      <c r="C22" s="47"/>
      <c r="D22" s="12"/>
      <c r="E22" s="1"/>
      <c r="F22" s="1"/>
      <c r="G22" s="37"/>
      <c r="H22" s="37"/>
    </row>
    <row r="23" spans="1:8" ht="15">
      <c r="A23" s="40" t="s">
        <v>68</v>
      </c>
      <c r="B23" s="7" t="s">
        <v>22</v>
      </c>
      <c r="C23" s="47"/>
      <c r="D23" s="12"/>
      <c r="E23" s="1"/>
      <c r="F23" s="1"/>
      <c r="G23" s="37"/>
      <c r="H23" s="37"/>
    </row>
    <row r="24" spans="1:8" ht="15">
      <c r="A24" s="40" t="s">
        <v>69</v>
      </c>
      <c r="B24" s="7" t="s">
        <v>23</v>
      </c>
      <c r="C24" s="47"/>
      <c r="D24" s="12"/>
      <c r="E24" s="1"/>
      <c r="F24" s="1"/>
      <c r="G24" s="37"/>
      <c r="H24" s="37"/>
    </row>
    <row r="25" spans="1:8" ht="15">
      <c r="A25" s="40" t="s">
        <v>70</v>
      </c>
      <c r="B25" s="7" t="s">
        <v>24</v>
      </c>
      <c r="C25" s="47"/>
      <c r="D25" s="12"/>
      <c r="E25" s="1"/>
      <c r="F25" s="1"/>
      <c r="G25" s="37"/>
      <c r="H25" s="37"/>
    </row>
    <row r="26" spans="1:8" ht="15">
      <c r="A26" s="40" t="s">
        <v>71</v>
      </c>
      <c r="B26" s="7" t="s">
        <v>25</v>
      </c>
      <c r="C26" s="47"/>
      <c r="D26" s="12"/>
      <c r="E26" s="1"/>
      <c r="F26" s="1"/>
      <c r="G26" s="37"/>
      <c r="H26" s="37"/>
    </row>
    <row r="27" spans="1:8" ht="15">
      <c r="A27" s="40" t="s">
        <v>72</v>
      </c>
      <c r="B27" s="7" t="s">
        <v>26</v>
      </c>
      <c r="C27" s="47"/>
      <c r="D27" s="12"/>
      <c r="E27" s="1"/>
      <c r="F27" s="1"/>
      <c r="G27" s="37"/>
      <c r="H27" s="37"/>
    </row>
    <row r="28" spans="1:8" ht="15">
      <c r="A28" s="40" t="s">
        <v>73</v>
      </c>
      <c r="B28" s="7" t="s">
        <v>27</v>
      </c>
      <c r="C28" s="47"/>
      <c r="D28" s="12"/>
      <c r="E28" s="1"/>
      <c r="F28" s="1"/>
      <c r="G28" s="37"/>
      <c r="H28" s="37"/>
    </row>
    <row r="29" spans="1:8" ht="15">
      <c r="A29" s="40" t="s">
        <v>74</v>
      </c>
      <c r="B29" s="7" t="s">
        <v>28</v>
      </c>
      <c r="C29" s="47">
        <v>878.84</v>
      </c>
      <c r="D29" s="12"/>
      <c r="E29" s="1"/>
      <c r="F29" s="1"/>
      <c r="G29" s="37"/>
      <c r="H29" s="37"/>
    </row>
    <row r="30" spans="1:8" ht="15">
      <c r="A30" s="40" t="s">
        <v>75</v>
      </c>
      <c r="B30" s="7" t="s">
        <v>29</v>
      </c>
      <c r="C30" s="47"/>
      <c r="D30" s="12"/>
      <c r="E30" s="1"/>
      <c r="F30" s="1"/>
      <c r="G30" s="37"/>
      <c r="H30" s="37"/>
    </row>
    <row r="31" spans="1:8" ht="15">
      <c r="A31" s="40" t="s">
        <v>76</v>
      </c>
      <c r="B31" s="7" t="s">
        <v>30</v>
      </c>
      <c r="C31" s="47"/>
      <c r="D31" s="12"/>
      <c r="E31" s="1"/>
      <c r="F31" s="1"/>
      <c r="G31" s="37"/>
      <c r="H31" s="37"/>
    </row>
    <row r="32" spans="1:8" ht="15">
      <c r="A32" s="40" t="s">
        <v>77</v>
      </c>
      <c r="B32" s="7" t="s">
        <v>31</v>
      </c>
      <c r="C32" s="47"/>
      <c r="D32" s="12"/>
      <c r="E32" s="1"/>
      <c r="F32" s="1"/>
      <c r="G32" s="37"/>
      <c r="H32" s="37"/>
    </row>
    <row r="33" spans="1:8" ht="15">
      <c r="A33" s="40" t="s">
        <v>78</v>
      </c>
      <c r="B33" s="7" t="s">
        <v>32</v>
      </c>
      <c r="C33" s="47"/>
      <c r="D33" s="12"/>
      <c r="E33" s="1"/>
      <c r="F33" s="1"/>
      <c r="G33" s="37"/>
      <c r="H33" s="37"/>
    </row>
    <row r="34" spans="1:8" ht="15">
      <c r="A34" s="40" t="s">
        <v>80</v>
      </c>
      <c r="B34" s="7" t="s">
        <v>33</v>
      </c>
      <c r="C34" s="47"/>
      <c r="D34" s="12"/>
      <c r="E34" s="1"/>
      <c r="F34" s="1"/>
      <c r="G34" s="37"/>
      <c r="H34" s="37"/>
    </row>
    <row r="35" spans="1:8" ht="15">
      <c r="A35" s="40" t="s">
        <v>81</v>
      </c>
      <c r="B35" s="7" t="s">
        <v>34</v>
      </c>
      <c r="C35" s="47"/>
      <c r="D35" s="12"/>
      <c r="E35" s="1"/>
      <c r="F35" s="1"/>
      <c r="G35" s="37"/>
      <c r="H35" s="37"/>
    </row>
    <row r="36" spans="1:8" ht="15">
      <c r="A36" s="40" t="s">
        <v>82</v>
      </c>
      <c r="B36" s="7" t="s">
        <v>88</v>
      </c>
      <c r="C36" s="47"/>
      <c r="D36" s="12"/>
      <c r="E36" s="1"/>
      <c r="F36" s="1"/>
      <c r="G36" s="37"/>
      <c r="H36" s="37"/>
    </row>
    <row r="37" spans="1:8" ht="15">
      <c r="A37" s="40" t="s">
        <v>83</v>
      </c>
      <c r="B37" s="7" t="s">
        <v>89</v>
      </c>
      <c r="C37" s="47"/>
      <c r="D37" s="12"/>
      <c r="E37" s="1"/>
      <c r="F37" s="1"/>
      <c r="G37" s="37"/>
      <c r="H37" s="37"/>
    </row>
    <row r="38" spans="1:8" ht="15">
      <c r="A38" s="40" t="s">
        <v>84</v>
      </c>
      <c r="B38" s="7" t="s">
        <v>90</v>
      </c>
      <c r="C38" s="47"/>
      <c r="D38" s="12"/>
      <c r="E38" s="1"/>
      <c r="F38" s="1"/>
      <c r="G38" s="37"/>
      <c r="H38" s="37"/>
    </row>
    <row r="39" spans="1:8" ht="15">
      <c r="A39" s="40" t="s">
        <v>85</v>
      </c>
      <c r="B39" s="7" t="s">
        <v>93</v>
      </c>
      <c r="C39" s="47"/>
      <c r="D39" s="12"/>
      <c r="E39" s="1"/>
      <c r="F39" s="1"/>
      <c r="G39" s="37"/>
      <c r="H39" s="37"/>
    </row>
    <row r="40" spans="1:8" ht="15">
      <c r="A40" s="40" t="s">
        <v>86</v>
      </c>
      <c r="B40" s="7" t="s">
        <v>94</v>
      </c>
      <c r="C40" s="47"/>
      <c r="D40" s="12"/>
      <c r="E40" s="1"/>
      <c r="F40" s="1"/>
      <c r="G40" s="37"/>
      <c r="H40" s="37"/>
    </row>
    <row r="41" spans="1:8" ht="15">
      <c r="A41" s="40" t="s">
        <v>91</v>
      </c>
      <c r="B41" s="7" t="s">
        <v>98</v>
      </c>
      <c r="C41" s="47"/>
      <c r="D41" s="12"/>
      <c r="E41" s="1"/>
      <c r="F41" s="1"/>
      <c r="G41" s="37"/>
      <c r="H41" s="37"/>
    </row>
    <row r="42" spans="1:8" ht="15">
      <c r="A42" s="40" t="s">
        <v>115</v>
      </c>
      <c r="B42" s="7" t="s">
        <v>113</v>
      </c>
      <c r="C42" s="47"/>
      <c r="D42" s="12"/>
      <c r="E42" s="1"/>
      <c r="F42" s="1"/>
      <c r="G42" s="37"/>
      <c r="H42" s="37"/>
    </row>
    <row r="43" spans="1:8" ht="15.75" thickBot="1">
      <c r="A43" s="97" t="s">
        <v>116</v>
      </c>
      <c r="B43" s="56" t="s">
        <v>114</v>
      </c>
      <c r="C43" s="98"/>
      <c r="D43" s="12"/>
      <c r="E43" s="1"/>
      <c r="F43" s="1"/>
      <c r="G43" s="37"/>
      <c r="H43" s="37"/>
    </row>
    <row r="44" spans="1:8" ht="15.75" thickBot="1">
      <c r="A44" s="54"/>
      <c r="B44" s="55" t="s">
        <v>35</v>
      </c>
      <c r="C44" s="99">
        <f>SUM(C6:C41)</f>
        <v>878.84</v>
      </c>
      <c r="D44" s="45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  <row r="46" spans="1:8" ht="14.25">
      <c r="A46" s="37"/>
      <c r="B46" s="37"/>
      <c r="C46" s="39"/>
      <c r="D46" s="1"/>
      <c r="E46" s="1"/>
      <c r="F46" s="1"/>
      <c r="G46" s="37"/>
      <c r="H46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3">
      <selection activeCell="I29" sqref="I29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81" t="s">
        <v>126</v>
      </c>
      <c r="B3" s="81"/>
      <c r="C3" s="81"/>
      <c r="D3" s="81"/>
      <c r="E3" s="81"/>
      <c r="F3" s="81"/>
      <c r="G3" s="81"/>
      <c r="H3" s="81"/>
      <c r="I3" s="81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7"/>
      <c r="I5" s="37"/>
    </row>
    <row r="6" spans="1:9" ht="15">
      <c r="A6" s="40" t="s">
        <v>79</v>
      </c>
      <c r="B6" s="7" t="s">
        <v>6</v>
      </c>
      <c r="C6" s="8">
        <v>1633.88</v>
      </c>
      <c r="D6" s="46"/>
      <c r="E6" s="12"/>
      <c r="F6" s="1"/>
      <c r="G6" s="1"/>
      <c r="H6" s="37"/>
      <c r="I6" s="37"/>
    </row>
    <row r="7" spans="1:9" ht="15">
      <c r="A7" s="40" t="s">
        <v>52</v>
      </c>
      <c r="B7" s="7" t="s">
        <v>39</v>
      </c>
      <c r="C7" s="8">
        <v>653.56</v>
      </c>
      <c r="D7" s="46"/>
      <c r="E7" s="12"/>
      <c r="F7" s="1"/>
      <c r="G7" s="1"/>
      <c r="H7" s="37"/>
      <c r="I7" s="37"/>
    </row>
    <row r="8" spans="1:9" ht="15">
      <c r="A8" s="40" t="s">
        <v>53</v>
      </c>
      <c r="B8" s="7" t="s">
        <v>8</v>
      </c>
      <c r="C8" s="8">
        <v>980.34</v>
      </c>
      <c r="D8" s="46"/>
      <c r="E8" s="12"/>
      <c r="F8" s="1"/>
      <c r="G8" s="1"/>
      <c r="H8" s="37"/>
      <c r="I8" s="37"/>
    </row>
    <row r="9" spans="1:9" ht="15">
      <c r="A9" s="40" t="s">
        <v>54</v>
      </c>
      <c r="B9" s="7" t="s">
        <v>9</v>
      </c>
      <c r="C9" s="8"/>
      <c r="D9" s="46"/>
      <c r="E9" s="12"/>
      <c r="F9" s="1"/>
      <c r="G9" s="1"/>
      <c r="H9" s="37"/>
      <c r="I9" s="37"/>
    </row>
    <row r="10" spans="1:9" ht="15">
      <c r="A10" s="40" t="s">
        <v>55</v>
      </c>
      <c r="B10" s="7" t="s">
        <v>10</v>
      </c>
      <c r="C10" s="8"/>
      <c r="D10" s="46"/>
      <c r="E10" s="12"/>
      <c r="F10" s="1"/>
      <c r="G10" s="1"/>
      <c r="H10" s="37"/>
      <c r="I10" s="37"/>
    </row>
    <row r="11" spans="1:9" ht="15">
      <c r="A11" s="40" t="s">
        <v>56</v>
      </c>
      <c r="B11" s="7" t="s">
        <v>11</v>
      </c>
      <c r="C11" s="8"/>
      <c r="D11" s="46"/>
      <c r="E11" s="12"/>
      <c r="F11" s="1"/>
      <c r="G11" s="1"/>
      <c r="H11" s="37"/>
      <c r="I11" s="37"/>
    </row>
    <row r="12" spans="1:9" ht="15">
      <c r="A12" s="40" t="s">
        <v>57</v>
      </c>
      <c r="B12" s="7" t="s">
        <v>12</v>
      </c>
      <c r="C12" s="8"/>
      <c r="D12" s="46"/>
      <c r="E12" s="12"/>
      <c r="F12" s="1"/>
      <c r="G12" s="1"/>
      <c r="H12" s="37"/>
      <c r="I12" s="37"/>
    </row>
    <row r="13" spans="1:9" ht="15">
      <c r="A13" s="40" t="s">
        <v>58</v>
      </c>
      <c r="B13" s="7" t="s">
        <v>13</v>
      </c>
      <c r="C13" s="8">
        <v>653.56</v>
      </c>
      <c r="D13" s="46"/>
      <c r="E13" s="12"/>
      <c r="F13" s="1"/>
      <c r="G13" s="1"/>
      <c r="H13" s="37"/>
      <c r="I13" s="37"/>
    </row>
    <row r="14" spans="1:9" ht="15">
      <c r="A14" s="40" t="s">
        <v>59</v>
      </c>
      <c r="B14" s="7" t="s">
        <v>112</v>
      </c>
      <c r="C14" s="8">
        <v>326.78</v>
      </c>
      <c r="D14" s="46"/>
      <c r="E14" s="12"/>
      <c r="F14" s="1"/>
      <c r="G14" s="1"/>
      <c r="H14" s="37"/>
      <c r="I14" s="37"/>
    </row>
    <row r="15" spans="1:9" ht="15">
      <c r="A15" s="40" t="s">
        <v>60</v>
      </c>
      <c r="B15" s="7" t="s">
        <v>14</v>
      </c>
      <c r="C15" s="8">
        <v>326.78</v>
      </c>
      <c r="D15" s="46"/>
      <c r="E15" s="12"/>
      <c r="F15" s="1"/>
      <c r="G15" s="1"/>
      <c r="H15" s="37"/>
      <c r="I15" s="37"/>
    </row>
    <row r="16" spans="1:9" ht="15">
      <c r="A16" s="40" t="s">
        <v>61</v>
      </c>
      <c r="B16" s="7" t="s">
        <v>15</v>
      </c>
      <c r="C16" s="8">
        <v>980.34</v>
      </c>
      <c r="D16" s="46"/>
      <c r="E16" s="12"/>
      <c r="F16" s="1"/>
      <c r="G16" s="1"/>
      <c r="H16" s="37"/>
      <c r="I16" s="37"/>
    </row>
    <row r="17" spans="1:9" ht="15">
      <c r="A17" s="40" t="s">
        <v>62</v>
      </c>
      <c r="B17" s="7" t="s">
        <v>40</v>
      </c>
      <c r="C17" s="8">
        <v>980.34</v>
      </c>
      <c r="D17" s="46"/>
      <c r="E17" s="12"/>
      <c r="F17" s="1"/>
      <c r="G17" s="1"/>
      <c r="H17" s="37"/>
      <c r="I17" s="37"/>
    </row>
    <row r="18" spans="1:9" ht="15">
      <c r="A18" s="40" t="s">
        <v>63</v>
      </c>
      <c r="B18" s="7" t="s">
        <v>17</v>
      </c>
      <c r="C18" s="8">
        <v>653.56</v>
      </c>
      <c r="D18" s="46"/>
      <c r="E18" s="12"/>
      <c r="F18" s="1"/>
      <c r="G18" s="1"/>
      <c r="H18" s="37"/>
      <c r="I18" s="37"/>
    </row>
    <row r="19" spans="1:9" ht="15">
      <c r="A19" s="40" t="s">
        <v>64</v>
      </c>
      <c r="B19" s="7" t="s">
        <v>18</v>
      </c>
      <c r="C19" s="8">
        <v>653.56</v>
      </c>
      <c r="D19" s="46"/>
      <c r="E19" s="12"/>
      <c r="F19" s="1"/>
      <c r="G19" s="1"/>
      <c r="H19" s="37"/>
      <c r="I19" s="37"/>
    </row>
    <row r="20" spans="1:9" ht="15">
      <c r="A20" s="40" t="s">
        <v>65</v>
      </c>
      <c r="B20" s="7" t="s">
        <v>19</v>
      </c>
      <c r="C20" s="8">
        <v>326.78</v>
      </c>
      <c r="D20" s="46"/>
      <c r="E20" s="12"/>
      <c r="F20" s="1"/>
      <c r="G20" s="1"/>
      <c r="H20" s="37"/>
      <c r="I20" s="37"/>
    </row>
    <row r="21" spans="1:9" ht="15">
      <c r="A21" s="40" t="s">
        <v>66</v>
      </c>
      <c r="B21" s="7" t="s">
        <v>20</v>
      </c>
      <c r="C21" s="8"/>
      <c r="D21" s="46"/>
      <c r="E21" s="12"/>
      <c r="F21" s="1"/>
      <c r="G21" s="1"/>
      <c r="H21" s="37"/>
      <c r="I21" s="37"/>
    </row>
    <row r="22" spans="1:9" ht="15">
      <c r="A22" s="40" t="s">
        <v>67</v>
      </c>
      <c r="B22" s="7" t="s">
        <v>21</v>
      </c>
      <c r="C22" s="8"/>
      <c r="D22" s="46"/>
      <c r="E22" s="12"/>
      <c r="F22" s="1"/>
      <c r="G22" s="1"/>
      <c r="H22" s="37"/>
      <c r="I22" s="37"/>
    </row>
    <row r="23" spans="1:9" ht="15">
      <c r="A23" s="40" t="s">
        <v>68</v>
      </c>
      <c r="B23" s="7" t="s">
        <v>22</v>
      </c>
      <c r="C23" s="8"/>
      <c r="D23" s="46"/>
      <c r="E23" s="12"/>
      <c r="F23" s="1"/>
      <c r="G23" s="1"/>
      <c r="H23" s="37"/>
      <c r="I23" s="37"/>
    </row>
    <row r="24" spans="1:9" ht="15">
      <c r="A24" s="40" t="s">
        <v>69</v>
      </c>
      <c r="B24" s="7" t="s">
        <v>23</v>
      </c>
      <c r="C24" s="8"/>
      <c r="D24" s="46"/>
      <c r="E24" s="12"/>
      <c r="F24" s="1"/>
      <c r="G24" s="1"/>
      <c r="H24" s="37"/>
      <c r="I24" s="37"/>
    </row>
    <row r="25" spans="1:9" ht="15">
      <c r="A25" s="40" t="s">
        <v>70</v>
      </c>
      <c r="B25" s="7" t="s">
        <v>24</v>
      </c>
      <c r="C25" s="8">
        <v>653.56</v>
      </c>
      <c r="D25" s="46"/>
      <c r="E25" s="12"/>
      <c r="F25" s="1"/>
      <c r="G25" s="1"/>
      <c r="H25" s="37"/>
      <c r="I25" s="37"/>
    </row>
    <row r="26" spans="1:9" ht="15">
      <c r="A26" s="40" t="s">
        <v>71</v>
      </c>
      <c r="B26" s="7" t="s">
        <v>25</v>
      </c>
      <c r="C26" s="8">
        <v>1633.88</v>
      </c>
      <c r="D26" s="46"/>
      <c r="E26" s="12"/>
      <c r="F26" s="1"/>
      <c r="G26" s="1"/>
      <c r="H26" s="37"/>
      <c r="I26" s="37"/>
    </row>
    <row r="27" spans="1:9" ht="15">
      <c r="A27" s="40" t="s">
        <v>72</v>
      </c>
      <c r="B27" s="7" t="s">
        <v>26</v>
      </c>
      <c r="C27" s="8"/>
      <c r="D27" s="46"/>
      <c r="E27" s="12"/>
      <c r="F27" s="1"/>
      <c r="G27" s="1"/>
      <c r="H27" s="37"/>
      <c r="I27" s="37"/>
    </row>
    <row r="28" spans="1:9" ht="15">
      <c r="A28" s="40" t="s">
        <v>73</v>
      </c>
      <c r="B28" s="7" t="s">
        <v>27</v>
      </c>
      <c r="C28" s="8"/>
      <c r="D28" s="46"/>
      <c r="E28" s="12"/>
      <c r="F28" s="1"/>
      <c r="G28" s="1"/>
      <c r="H28" s="37"/>
      <c r="I28" s="37"/>
    </row>
    <row r="29" spans="1:9" ht="15">
      <c r="A29" s="40" t="s">
        <v>74</v>
      </c>
      <c r="B29" s="7" t="s">
        <v>28</v>
      </c>
      <c r="C29" s="8">
        <v>2614.16</v>
      </c>
      <c r="D29" s="46"/>
      <c r="E29" s="12"/>
      <c r="F29" s="1"/>
      <c r="G29" s="1"/>
      <c r="H29" s="37"/>
      <c r="I29" s="37"/>
    </row>
    <row r="30" spans="1:9" ht="15">
      <c r="A30" s="40" t="s">
        <v>75</v>
      </c>
      <c r="B30" s="7" t="s">
        <v>29</v>
      </c>
      <c r="C30" s="8"/>
      <c r="D30" s="46"/>
      <c r="E30" s="12"/>
      <c r="F30" s="1"/>
      <c r="G30" s="1"/>
      <c r="H30" s="37"/>
      <c r="I30" s="37"/>
    </row>
    <row r="31" spans="1:9" ht="15">
      <c r="A31" s="40" t="s">
        <v>76</v>
      </c>
      <c r="B31" s="7" t="s">
        <v>30</v>
      </c>
      <c r="C31" s="8"/>
      <c r="D31" s="46"/>
      <c r="E31" s="12"/>
      <c r="F31" s="1"/>
      <c r="G31" s="1"/>
      <c r="H31" s="37"/>
      <c r="I31" s="37"/>
    </row>
    <row r="32" spans="1:9" ht="15">
      <c r="A32" s="40" t="s">
        <v>77</v>
      </c>
      <c r="B32" s="7" t="s">
        <v>31</v>
      </c>
      <c r="C32" s="8">
        <v>326.78</v>
      </c>
      <c r="D32" s="46"/>
      <c r="E32" s="12"/>
      <c r="F32" s="1"/>
      <c r="G32" s="1"/>
      <c r="H32" s="37"/>
      <c r="I32" s="37"/>
    </row>
    <row r="33" spans="1:9" ht="15">
      <c r="A33" s="40" t="s">
        <v>78</v>
      </c>
      <c r="B33" s="7" t="s">
        <v>32</v>
      </c>
      <c r="C33" s="8">
        <v>2614.24</v>
      </c>
      <c r="D33" s="46"/>
      <c r="E33" s="12"/>
      <c r="F33" s="1"/>
      <c r="G33" s="1"/>
      <c r="H33" s="37"/>
      <c r="I33" s="37"/>
    </row>
    <row r="34" spans="1:9" ht="15">
      <c r="A34" s="40" t="s">
        <v>80</v>
      </c>
      <c r="B34" s="7" t="s">
        <v>33</v>
      </c>
      <c r="C34" s="8">
        <v>653.56</v>
      </c>
      <c r="D34" s="46"/>
      <c r="E34" s="12"/>
      <c r="F34" s="1"/>
      <c r="G34" s="1"/>
      <c r="H34" s="37"/>
      <c r="I34" s="37"/>
    </row>
    <row r="35" spans="1:9" ht="15">
      <c r="A35" s="40" t="s">
        <v>81</v>
      </c>
      <c r="B35" s="7" t="s">
        <v>34</v>
      </c>
      <c r="C35" s="8"/>
      <c r="D35" s="46"/>
      <c r="E35" s="12"/>
      <c r="F35" s="1"/>
      <c r="G35" s="1"/>
      <c r="H35" s="37"/>
      <c r="I35" s="37"/>
    </row>
    <row r="36" spans="1:9" ht="15">
      <c r="A36" s="40" t="s">
        <v>82</v>
      </c>
      <c r="B36" s="7" t="s">
        <v>87</v>
      </c>
      <c r="C36" s="8"/>
      <c r="D36" s="46"/>
      <c r="E36" s="12"/>
      <c r="F36" s="1"/>
      <c r="G36" s="1"/>
      <c r="H36" s="37"/>
      <c r="I36" s="37"/>
    </row>
    <row r="37" spans="1:9" ht="15">
      <c r="A37" s="40" t="s">
        <v>83</v>
      </c>
      <c r="B37" s="7" t="s">
        <v>89</v>
      </c>
      <c r="C37" s="8">
        <v>980.34</v>
      </c>
      <c r="D37" s="46"/>
      <c r="E37" s="12"/>
      <c r="F37" s="1"/>
      <c r="G37" s="1"/>
      <c r="H37" s="37"/>
      <c r="I37" s="37"/>
    </row>
    <row r="38" spans="1:9" ht="15">
      <c r="A38" s="40" t="s">
        <v>84</v>
      </c>
      <c r="B38" s="7" t="s">
        <v>90</v>
      </c>
      <c r="C38" s="8">
        <v>653.56</v>
      </c>
      <c r="D38" s="46"/>
      <c r="E38" s="12"/>
      <c r="F38" s="1"/>
      <c r="G38" s="1"/>
      <c r="H38" s="37"/>
      <c r="I38" s="37"/>
    </row>
    <row r="39" spans="1:9" ht="15">
      <c r="A39" s="40" t="s">
        <v>85</v>
      </c>
      <c r="B39" s="7" t="s">
        <v>93</v>
      </c>
      <c r="C39" s="8"/>
      <c r="D39" s="46"/>
      <c r="E39" s="12"/>
      <c r="F39" s="1"/>
      <c r="G39" s="1"/>
      <c r="H39" s="37"/>
      <c r="I39" s="37"/>
    </row>
    <row r="40" spans="1:9" ht="15">
      <c r="A40" s="40" t="s">
        <v>86</v>
      </c>
      <c r="B40" s="56" t="s">
        <v>94</v>
      </c>
      <c r="C40" s="8">
        <v>326.78</v>
      </c>
      <c r="D40" s="46"/>
      <c r="E40" s="12"/>
      <c r="F40" s="1"/>
      <c r="G40" s="1"/>
      <c r="H40" s="37"/>
      <c r="I40" s="37"/>
    </row>
    <row r="41" spans="1:9" ht="15">
      <c r="A41" s="40" t="s">
        <v>91</v>
      </c>
      <c r="B41" s="56" t="s">
        <v>98</v>
      </c>
      <c r="C41" s="8"/>
      <c r="D41" s="46"/>
      <c r="E41" s="12"/>
      <c r="F41" s="1"/>
      <c r="G41" s="1"/>
      <c r="H41" s="37"/>
      <c r="I41" s="37"/>
    </row>
    <row r="42" spans="1:9" ht="15">
      <c r="A42" s="40" t="s">
        <v>115</v>
      </c>
      <c r="B42" s="7" t="s">
        <v>113</v>
      </c>
      <c r="C42" s="8"/>
      <c r="D42" s="46"/>
      <c r="E42" s="12"/>
      <c r="F42" s="1"/>
      <c r="G42" s="1"/>
      <c r="H42" s="37"/>
      <c r="I42" s="37"/>
    </row>
    <row r="43" spans="1:9" ht="15.75" thickBot="1">
      <c r="A43" s="40" t="s">
        <v>116</v>
      </c>
      <c r="B43" s="7" t="s">
        <v>114</v>
      </c>
      <c r="C43" s="8"/>
      <c r="D43" s="46"/>
      <c r="E43" s="12"/>
      <c r="F43" s="1"/>
      <c r="G43" s="1"/>
      <c r="H43" s="37"/>
      <c r="I43" s="37"/>
    </row>
    <row r="44" spans="1:9" ht="15.75" thickBot="1">
      <c r="A44" s="54"/>
      <c r="B44" s="55" t="s">
        <v>35</v>
      </c>
      <c r="C44" s="93">
        <f>SUM(C6:C41)</f>
        <v>18626.34</v>
      </c>
      <c r="D44" s="12"/>
      <c r="E44" s="12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9"/>
      <c r="D46" s="1"/>
      <c r="E46" s="1"/>
      <c r="F46" s="1"/>
      <c r="G46" s="1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6"/>
  <sheetViews>
    <sheetView workbookViewId="0" topLeftCell="A16">
      <selection activeCell="C44" sqref="C44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5">
      <c r="A3" s="81" t="s">
        <v>127</v>
      </c>
      <c r="B3" s="81"/>
      <c r="C3" s="81"/>
      <c r="D3" s="81"/>
      <c r="E3" s="81"/>
      <c r="F3" s="81"/>
    </row>
    <row r="4" spans="1:6" ht="14.25">
      <c r="A4" s="104"/>
      <c r="B4" s="104"/>
      <c r="C4" s="104"/>
      <c r="D4" s="43"/>
      <c r="E4" s="37"/>
      <c r="F4" s="37"/>
    </row>
    <row r="5" spans="1:6" ht="45">
      <c r="A5" s="49" t="s">
        <v>0</v>
      </c>
      <c r="B5" s="49" t="s">
        <v>1</v>
      </c>
      <c r="C5" s="51" t="s">
        <v>96</v>
      </c>
      <c r="D5" s="51" t="s">
        <v>97</v>
      </c>
      <c r="E5" s="37"/>
      <c r="F5" s="37"/>
    </row>
    <row r="6" spans="1:12" ht="15">
      <c r="A6" s="40" t="s">
        <v>79</v>
      </c>
      <c r="B6" s="7" t="s">
        <v>6</v>
      </c>
      <c r="C6" s="47"/>
      <c r="D6" s="6"/>
      <c r="E6" s="37"/>
      <c r="F6" s="37"/>
      <c r="G6" s="3"/>
      <c r="H6" s="3"/>
      <c r="I6" s="3"/>
      <c r="J6" s="3"/>
      <c r="K6" s="3"/>
      <c r="L6" s="3"/>
    </row>
    <row r="7" spans="1:12" ht="15">
      <c r="A7" s="40" t="s">
        <v>52</v>
      </c>
      <c r="B7" s="7" t="s">
        <v>39</v>
      </c>
      <c r="C7" s="47"/>
      <c r="D7" s="6"/>
      <c r="E7" s="37"/>
      <c r="F7" s="37"/>
      <c r="G7" s="3"/>
      <c r="H7" s="3"/>
      <c r="I7" s="3"/>
      <c r="J7" s="3"/>
      <c r="K7" s="3"/>
      <c r="L7" s="3"/>
    </row>
    <row r="8" spans="1:12" ht="15">
      <c r="A8" s="40" t="s">
        <v>53</v>
      </c>
      <c r="B8" s="7" t="s">
        <v>8</v>
      </c>
      <c r="C8" s="47"/>
      <c r="D8" s="6"/>
      <c r="E8" s="37"/>
      <c r="F8" s="37"/>
      <c r="G8" s="3"/>
      <c r="H8" s="3"/>
      <c r="I8" s="3"/>
      <c r="J8" s="3"/>
      <c r="K8" s="3"/>
      <c r="L8" s="3"/>
    </row>
    <row r="9" spans="1:12" ht="15">
      <c r="A9" s="40" t="s">
        <v>54</v>
      </c>
      <c r="B9" s="7" t="s">
        <v>9</v>
      </c>
      <c r="C9" s="47"/>
      <c r="D9" s="6"/>
      <c r="E9" s="37"/>
      <c r="F9" s="37"/>
      <c r="G9" s="3"/>
      <c r="H9" s="3"/>
      <c r="I9" s="3"/>
      <c r="J9" s="3"/>
      <c r="K9" s="3"/>
      <c r="L9" s="3"/>
    </row>
    <row r="10" spans="1:12" ht="15">
      <c r="A10" s="40" t="s">
        <v>55</v>
      </c>
      <c r="B10" s="7" t="s">
        <v>10</v>
      </c>
      <c r="C10" s="47"/>
      <c r="D10" s="6"/>
      <c r="E10" s="37"/>
      <c r="F10" s="37"/>
      <c r="G10" s="3"/>
      <c r="H10" s="3"/>
      <c r="I10" s="3"/>
      <c r="J10" s="3"/>
      <c r="K10" s="3"/>
      <c r="L10" s="3"/>
    </row>
    <row r="11" spans="1:12" ht="15">
      <c r="A11" s="40" t="s">
        <v>56</v>
      </c>
      <c r="B11" s="7" t="s">
        <v>11</v>
      </c>
      <c r="C11" s="47"/>
      <c r="D11" s="6"/>
      <c r="E11" s="37"/>
      <c r="F11" s="37"/>
      <c r="G11" s="3"/>
      <c r="H11" s="3"/>
      <c r="I11" s="3"/>
      <c r="J11" s="3"/>
      <c r="K11" s="3"/>
      <c r="L11" s="3"/>
    </row>
    <row r="12" spans="1:12" ht="15">
      <c r="A12" s="40" t="s">
        <v>57</v>
      </c>
      <c r="B12" s="7" t="s">
        <v>12</v>
      </c>
      <c r="C12" s="47"/>
      <c r="D12" s="6"/>
      <c r="E12" s="37"/>
      <c r="F12" s="37"/>
      <c r="G12" s="3"/>
      <c r="H12" s="3"/>
      <c r="I12" s="3"/>
      <c r="J12" s="3"/>
      <c r="K12" s="3"/>
      <c r="L12" s="3"/>
    </row>
    <row r="13" spans="1:12" ht="15">
      <c r="A13" s="40" t="s">
        <v>58</v>
      </c>
      <c r="B13" s="7" t="s">
        <v>13</v>
      </c>
      <c r="C13" s="47"/>
      <c r="D13" s="6"/>
      <c r="E13" s="37"/>
      <c r="F13" s="37"/>
      <c r="G13" s="3"/>
      <c r="H13" s="3"/>
      <c r="I13" s="3"/>
      <c r="J13" s="3"/>
      <c r="K13" s="3"/>
      <c r="L13" s="3"/>
    </row>
    <row r="14" spans="1:12" ht="15">
      <c r="A14" s="40" t="s">
        <v>59</v>
      </c>
      <c r="B14" s="7" t="s">
        <v>112</v>
      </c>
      <c r="C14" s="47"/>
      <c r="D14" s="6">
        <v>2806.9</v>
      </c>
      <c r="E14" s="37"/>
      <c r="F14" s="37"/>
      <c r="G14" s="3"/>
      <c r="H14" s="3"/>
      <c r="I14" s="3"/>
      <c r="J14" s="3"/>
      <c r="K14" s="3"/>
      <c r="L14" s="3"/>
    </row>
    <row r="15" spans="1:12" ht="15">
      <c r="A15" s="40" t="s">
        <v>60</v>
      </c>
      <c r="B15" s="7" t="s">
        <v>14</v>
      </c>
      <c r="C15" s="47"/>
      <c r="D15" s="6"/>
      <c r="E15" s="37"/>
      <c r="F15" s="37"/>
      <c r="G15" s="3"/>
      <c r="H15" s="3"/>
      <c r="I15" s="3"/>
      <c r="J15" s="3"/>
      <c r="K15" s="3"/>
      <c r="L15" s="3"/>
    </row>
    <row r="16" spans="1:12" ht="15">
      <c r="A16" s="40" t="s">
        <v>61</v>
      </c>
      <c r="B16" s="7" t="s">
        <v>15</v>
      </c>
      <c r="C16" s="47">
        <v>6599.34</v>
      </c>
      <c r="D16" s="6"/>
      <c r="E16" s="37"/>
      <c r="F16" s="37"/>
      <c r="G16" s="3"/>
      <c r="H16" s="3"/>
      <c r="I16" s="3"/>
      <c r="J16" s="3"/>
      <c r="K16" s="3"/>
      <c r="L16" s="3"/>
    </row>
    <row r="17" spans="1:12" ht="15">
      <c r="A17" s="40" t="s">
        <v>62</v>
      </c>
      <c r="B17" s="7" t="s">
        <v>40</v>
      </c>
      <c r="C17" s="47"/>
      <c r="D17" s="6"/>
      <c r="E17" s="37"/>
      <c r="F17" s="37"/>
      <c r="G17" s="3"/>
      <c r="H17" s="3"/>
      <c r="I17" s="3"/>
      <c r="J17" s="3"/>
      <c r="K17" s="3"/>
      <c r="L17" s="3"/>
    </row>
    <row r="18" spans="1:12" ht="15">
      <c r="A18" s="40" t="s">
        <v>63</v>
      </c>
      <c r="B18" s="7" t="s">
        <v>17</v>
      </c>
      <c r="C18" s="47"/>
      <c r="D18" s="6"/>
      <c r="E18" s="37"/>
      <c r="F18" s="37"/>
      <c r="G18" s="3"/>
      <c r="H18" s="3"/>
      <c r="I18" s="3"/>
      <c r="J18" s="3"/>
      <c r="K18" s="3"/>
      <c r="L18" s="3"/>
    </row>
    <row r="19" spans="1:12" ht="15">
      <c r="A19" s="40" t="s">
        <v>64</v>
      </c>
      <c r="B19" s="7" t="s">
        <v>18</v>
      </c>
      <c r="C19" s="47"/>
      <c r="D19" s="6"/>
      <c r="E19" s="37"/>
      <c r="F19" s="37"/>
      <c r="G19" s="3"/>
      <c r="H19" s="3"/>
      <c r="I19" s="3"/>
      <c r="J19" s="3"/>
      <c r="K19" s="3"/>
      <c r="L19" s="3"/>
    </row>
    <row r="20" spans="1:12" ht="15">
      <c r="A20" s="40" t="s">
        <v>65</v>
      </c>
      <c r="B20" s="7" t="s">
        <v>19</v>
      </c>
      <c r="C20" s="47">
        <v>3272.79</v>
      </c>
      <c r="D20" s="6">
        <v>6392.83</v>
      </c>
      <c r="E20" s="37"/>
      <c r="F20" s="37"/>
      <c r="G20" s="3"/>
      <c r="H20" s="3"/>
      <c r="I20" s="3"/>
      <c r="J20" s="3"/>
      <c r="K20" s="3"/>
      <c r="L20" s="3"/>
    </row>
    <row r="21" spans="1:12" ht="15">
      <c r="A21" s="40" t="s">
        <v>66</v>
      </c>
      <c r="B21" s="7" t="s">
        <v>20</v>
      </c>
      <c r="C21" s="47"/>
      <c r="D21" s="6"/>
      <c r="E21" s="37"/>
      <c r="F21" s="37"/>
      <c r="G21" s="3"/>
      <c r="H21" s="3"/>
      <c r="I21" s="3"/>
      <c r="J21" s="3"/>
      <c r="K21" s="3"/>
      <c r="L21" s="3"/>
    </row>
    <row r="22" spans="1:12" ht="15">
      <c r="A22" s="40" t="s">
        <v>67</v>
      </c>
      <c r="B22" s="7" t="s">
        <v>21</v>
      </c>
      <c r="C22" s="47"/>
      <c r="D22" s="6"/>
      <c r="E22" s="37"/>
      <c r="F22" s="37"/>
      <c r="G22" s="3"/>
      <c r="H22" s="3"/>
      <c r="I22" s="3"/>
      <c r="J22" s="3"/>
      <c r="K22" s="3"/>
      <c r="L22" s="3"/>
    </row>
    <row r="23" spans="1:12" ht="15">
      <c r="A23" s="40" t="s">
        <v>68</v>
      </c>
      <c r="B23" s="7" t="s">
        <v>22</v>
      </c>
      <c r="C23" s="47"/>
      <c r="D23" s="6"/>
      <c r="E23" s="37"/>
      <c r="F23" s="37"/>
      <c r="G23" s="3"/>
      <c r="H23" s="3"/>
      <c r="I23" s="3"/>
      <c r="J23" s="3"/>
      <c r="K23" s="3"/>
      <c r="L23" s="3"/>
    </row>
    <row r="24" spans="1:12" ht="15">
      <c r="A24" s="40" t="s">
        <v>69</v>
      </c>
      <c r="B24" s="7" t="s">
        <v>23</v>
      </c>
      <c r="C24" s="47"/>
      <c r="D24" s="6"/>
      <c r="E24" s="37"/>
      <c r="F24" s="37"/>
      <c r="G24" s="3"/>
      <c r="H24" s="3"/>
      <c r="I24" s="3"/>
      <c r="J24" s="3"/>
      <c r="K24" s="3"/>
      <c r="L24" s="3"/>
    </row>
    <row r="25" spans="1:12" ht="15">
      <c r="A25" s="40" t="s">
        <v>70</v>
      </c>
      <c r="B25" s="7" t="s">
        <v>24</v>
      </c>
      <c r="C25" s="47"/>
      <c r="D25" s="6"/>
      <c r="E25" s="37"/>
      <c r="F25" s="37"/>
      <c r="G25" s="3"/>
      <c r="H25" s="3"/>
      <c r="I25" s="3"/>
      <c r="J25" s="3"/>
      <c r="K25" s="3"/>
      <c r="L25" s="3"/>
    </row>
    <row r="26" spans="1:12" ht="15">
      <c r="A26" s="40" t="s">
        <v>71</v>
      </c>
      <c r="B26" s="7" t="s">
        <v>25</v>
      </c>
      <c r="C26" s="47"/>
      <c r="D26" s="6">
        <v>15318.41</v>
      </c>
      <c r="E26" s="37"/>
      <c r="F26" s="37"/>
      <c r="G26" s="3"/>
      <c r="H26" s="3"/>
      <c r="I26" s="3"/>
      <c r="J26" s="3"/>
      <c r="K26" s="3"/>
      <c r="L26" s="3"/>
    </row>
    <row r="27" spans="1:12" ht="15">
      <c r="A27" s="40" t="s">
        <v>72</v>
      </c>
      <c r="B27" s="7" t="s">
        <v>26</v>
      </c>
      <c r="C27" s="47"/>
      <c r="D27" s="6"/>
      <c r="E27" s="37"/>
      <c r="F27" s="37"/>
      <c r="G27" s="3"/>
      <c r="H27" s="3"/>
      <c r="I27" s="3"/>
      <c r="J27" s="3"/>
      <c r="K27" s="3"/>
      <c r="L27" s="3"/>
    </row>
    <row r="28" spans="1:12" ht="15">
      <c r="A28" s="40" t="s">
        <v>73</v>
      </c>
      <c r="B28" s="7" t="s">
        <v>27</v>
      </c>
      <c r="C28" s="47"/>
      <c r="D28" s="6"/>
      <c r="E28" s="37"/>
      <c r="F28" s="37"/>
      <c r="G28" s="3"/>
      <c r="H28" s="3"/>
      <c r="I28" s="3"/>
      <c r="J28" s="3"/>
      <c r="K28" s="3"/>
      <c r="L28" s="3"/>
    </row>
    <row r="29" spans="1:12" ht="15">
      <c r="A29" s="40" t="s">
        <v>74</v>
      </c>
      <c r="B29" s="7" t="s">
        <v>28</v>
      </c>
      <c r="C29" s="47">
        <v>337.68</v>
      </c>
      <c r="D29" s="6"/>
      <c r="E29" s="37"/>
      <c r="F29" s="37"/>
      <c r="G29" s="3"/>
      <c r="H29" s="3"/>
      <c r="I29" s="3"/>
      <c r="J29" s="3"/>
      <c r="K29" s="3"/>
      <c r="L29" s="3"/>
    </row>
    <row r="30" spans="1:12" ht="15">
      <c r="A30" s="40" t="s">
        <v>75</v>
      </c>
      <c r="B30" s="7" t="s">
        <v>29</v>
      </c>
      <c r="C30" s="47"/>
      <c r="D30" s="6"/>
      <c r="E30" s="37"/>
      <c r="F30" s="37"/>
      <c r="G30" s="3"/>
      <c r="H30" s="3"/>
      <c r="I30" s="3"/>
      <c r="J30" s="3"/>
      <c r="K30" s="3"/>
      <c r="L30" s="3"/>
    </row>
    <row r="31" spans="1:12" ht="15">
      <c r="A31" s="40" t="s">
        <v>76</v>
      </c>
      <c r="B31" s="7" t="s">
        <v>30</v>
      </c>
      <c r="C31" s="47"/>
      <c r="D31" s="6"/>
      <c r="E31" s="37"/>
      <c r="F31" s="37"/>
      <c r="G31" s="3"/>
      <c r="H31" s="3"/>
      <c r="I31" s="3"/>
      <c r="J31" s="3"/>
      <c r="K31" s="3"/>
      <c r="L31" s="3"/>
    </row>
    <row r="32" spans="1:12" ht="15">
      <c r="A32" s="40" t="s">
        <v>77</v>
      </c>
      <c r="B32" s="7" t="s">
        <v>31</v>
      </c>
      <c r="C32" s="47"/>
      <c r="D32" s="6"/>
      <c r="E32" s="37"/>
      <c r="F32" s="37"/>
      <c r="G32" s="3"/>
      <c r="H32" s="3"/>
      <c r="I32" s="3"/>
      <c r="J32" s="3"/>
      <c r="K32" s="3"/>
      <c r="L32" s="3"/>
    </row>
    <row r="33" spans="1:12" ht="15">
      <c r="A33" s="40" t="s">
        <v>78</v>
      </c>
      <c r="B33" s="7" t="s">
        <v>32</v>
      </c>
      <c r="C33" s="47"/>
      <c r="D33" s="6"/>
      <c r="E33" s="37"/>
      <c r="F33" s="37"/>
      <c r="G33" s="3"/>
      <c r="H33" s="3"/>
      <c r="I33" s="3"/>
      <c r="J33" s="3"/>
      <c r="K33" s="3"/>
      <c r="L33" s="3"/>
    </row>
    <row r="34" spans="1:12" ht="15">
      <c r="A34" s="40" t="s">
        <v>80</v>
      </c>
      <c r="B34" s="7" t="s">
        <v>33</v>
      </c>
      <c r="C34" s="47"/>
      <c r="D34" s="6"/>
      <c r="E34" s="37"/>
      <c r="F34" s="37"/>
      <c r="G34" s="3"/>
      <c r="H34" s="3"/>
      <c r="I34" s="3"/>
      <c r="J34" s="3"/>
      <c r="K34" s="3"/>
      <c r="L34" s="3"/>
    </row>
    <row r="35" spans="1:12" ht="15">
      <c r="A35" s="40" t="s">
        <v>81</v>
      </c>
      <c r="B35" s="7" t="s">
        <v>34</v>
      </c>
      <c r="C35" s="47"/>
      <c r="D35" s="6"/>
      <c r="E35" s="37"/>
      <c r="F35" s="37"/>
      <c r="G35" s="3"/>
      <c r="H35" s="3"/>
      <c r="I35" s="3"/>
      <c r="J35" s="3"/>
      <c r="K35" s="3"/>
      <c r="L35" s="3"/>
    </row>
    <row r="36" spans="1:12" ht="15">
      <c r="A36" s="40" t="s">
        <v>82</v>
      </c>
      <c r="B36" s="7" t="s">
        <v>87</v>
      </c>
      <c r="C36" s="47"/>
      <c r="D36" s="6"/>
      <c r="E36" s="37"/>
      <c r="F36" s="37"/>
      <c r="G36" s="3"/>
      <c r="H36" s="3"/>
      <c r="I36" s="3"/>
      <c r="J36" s="3"/>
      <c r="K36" s="3"/>
      <c r="L36" s="3"/>
    </row>
    <row r="37" spans="1:12" ht="15">
      <c r="A37" s="40" t="s">
        <v>83</v>
      </c>
      <c r="B37" s="7" t="s">
        <v>89</v>
      </c>
      <c r="C37" s="47"/>
      <c r="D37" s="6">
        <v>2760.7</v>
      </c>
      <c r="E37" s="37"/>
      <c r="F37" s="37"/>
      <c r="G37" s="3"/>
      <c r="H37" s="3"/>
      <c r="I37" s="3"/>
      <c r="J37" s="3"/>
      <c r="K37" s="3"/>
      <c r="L37" s="3"/>
    </row>
    <row r="38" spans="1:12" ht="15">
      <c r="A38" s="40" t="s">
        <v>84</v>
      </c>
      <c r="B38" s="7" t="s">
        <v>90</v>
      </c>
      <c r="C38" s="47"/>
      <c r="D38" s="6"/>
      <c r="E38" s="37"/>
      <c r="F38" s="37"/>
      <c r="G38" s="3"/>
      <c r="H38" s="3"/>
      <c r="I38" s="3"/>
      <c r="J38" s="3"/>
      <c r="K38" s="3"/>
      <c r="L38" s="3"/>
    </row>
    <row r="39" spans="1:12" ht="15">
      <c r="A39" s="40" t="s">
        <v>85</v>
      </c>
      <c r="B39" s="7" t="s">
        <v>93</v>
      </c>
      <c r="C39" s="47"/>
      <c r="D39" s="6"/>
      <c r="E39" s="37"/>
      <c r="F39" s="37"/>
      <c r="G39" s="3"/>
      <c r="H39" s="3"/>
      <c r="I39" s="3"/>
      <c r="J39" s="3"/>
      <c r="K39" s="3"/>
      <c r="L39" s="3"/>
    </row>
    <row r="40" spans="1:12" ht="15">
      <c r="A40" s="40" t="s">
        <v>86</v>
      </c>
      <c r="B40" s="7" t="s">
        <v>94</v>
      </c>
      <c r="C40" s="47"/>
      <c r="D40" s="6"/>
      <c r="E40" s="37"/>
      <c r="F40" s="37"/>
      <c r="G40" s="3"/>
      <c r="H40" s="3"/>
      <c r="I40" s="3"/>
      <c r="J40" s="3"/>
      <c r="K40" s="3"/>
      <c r="L40" s="3"/>
    </row>
    <row r="41" spans="1:12" ht="15">
      <c r="A41" s="40" t="s">
        <v>91</v>
      </c>
      <c r="B41" s="7" t="s">
        <v>98</v>
      </c>
      <c r="C41" s="47"/>
      <c r="D41" s="6"/>
      <c r="E41" s="37"/>
      <c r="F41" s="37"/>
      <c r="G41" s="3"/>
      <c r="H41" s="3"/>
      <c r="I41" s="3"/>
      <c r="J41" s="3"/>
      <c r="K41" s="3"/>
      <c r="L41" s="3"/>
    </row>
    <row r="42" spans="1:12" ht="15">
      <c r="A42" s="40" t="s">
        <v>115</v>
      </c>
      <c r="B42" s="7" t="s">
        <v>113</v>
      </c>
      <c r="C42" s="47"/>
      <c r="D42" s="6"/>
      <c r="E42" s="37"/>
      <c r="F42" s="37"/>
      <c r="G42" s="3"/>
      <c r="H42" s="3"/>
      <c r="I42" s="3"/>
      <c r="J42" s="3"/>
      <c r="K42" s="3"/>
      <c r="L42" s="3"/>
    </row>
    <row r="43" spans="1:12" ht="15.75" thickBot="1">
      <c r="A43" s="40" t="s">
        <v>116</v>
      </c>
      <c r="B43" s="7" t="s">
        <v>114</v>
      </c>
      <c r="C43" s="47"/>
      <c r="D43" s="6"/>
      <c r="E43" s="37"/>
      <c r="F43" s="37"/>
      <c r="G43" s="3"/>
      <c r="H43" s="3"/>
      <c r="I43" s="3"/>
      <c r="J43" s="3"/>
      <c r="K43" s="3"/>
      <c r="L43" s="3"/>
    </row>
    <row r="44" spans="1:12" ht="15.75" thickBot="1">
      <c r="A44" s="66"/>
      <c r="B44" s="67" t="s">
        <v>35</v>
      </c>
      <c r="C44" s="94">
        <f>SUM(C6:C41)</f>
        <v>10209.810000000001</v>
      </c>
      <c r="D44" s="93">
        <f>SUM(D6:D41)</f>
        <v>27278.84</v>
      </c>
      <c r="E44" s="37"/>
      <c r="F44" s="37"/>
      <c r="G44" s="3"/>
      <c r="H44" s="3"/>
      <c r="I44" s="3"/>
      <c r="J44" s="3"/>
      <c r="K44" s="3"/>
      <c r="L44" s="3"/>
    </row>
    <row r="45" spans="1:12" ht="14.25">
      <c r="A45" s="37"/>
      <c r="B45" s="37"/>
      <c r="C45" s="37"/>
      <c r="D45" s="1"/>
      <c r="E45" s="37"/>
      <c r="F45" s="37"/>
      <c r="G45" s="3"/>
      <c r="H45" s="3"/>
      <c r="I45" s="3"/>
      <c r="J45" s="3"/>
      <c r="K45" s="3"/>
      <c r="L45" s="3"/>
    </row>
    <row r="46" spans="1:6" ht="14.25">
      <c r="A46" s="37"/>
      <c r="B46" s="37"/>
      <c r="C46" s="37"/>
      <c r="D46" s="37"/>
      <c r="E46" s="37"/>
      <c r="F46" s="37"/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6"/>
  <sheetViews>
    <sheetView workbookViewId="0" topLeftCell="A13">
      <selection activeCell="D31" sqref="D31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7" ht="15" customHeight="1">
      <c r="A3" s="100" t="s">
        <v>117</v>
      </c>
      <c r="B3" s="100"/>
      <c r="C3" s="100"/>
      <c r="D3" s="100"/>
      <c r="E3" s="100"/>
      <c r="F3" s="100"/>
      <c r="G3" s="101"/>
    </row>
    <row r="4" spans="1:6" ht="15">
      <c r="A4" s="35"/>
      <c r="B4" s="36"/>
      <c r="C4" s="36"/>
      <c r="D4" s="35"/>
      <c r="E4" s="35"/>
      <c r="F4" s="35"/>
    </row>
    <row r="5" spans="1:6" ht="15" thickBot="1">
      <c r="A5" s="37"/>
      <c r="B5" s="37"/>
      <c r="C5" s="38"/>
      <c r="D5" s="37"/>
      <c r="E5" s="39"/>
      <c r="F5" s="37"/>
    </row>
    <row r="6" spans="1:6" ht="46.5" customHeight="1" thickBot="1">
      <c r="A6" s="62" t="s">
        <v>0</v>
      </c>
      <c r="B6" s="63" t="s">
        <v>1</v>
      </c>
      <c r="C6" s="64" t="s">
        <v>36</v>
      </c>
      <c r="D6" s="64" t="s">
        <v>37</v>
      </c>
      <c r="E6" s="65" t="s">
        <v>38</v>
      </c>
      <c r="F6" s="37"/>
    </row>
    <row r="7" spans="1:9" ht="15">
      <c r="A7" s="58" t="s">
        <v>79</v>
      </c>
      <c r="B7" s="59" t="s">
        <v>6</v>
      </c>
      <c r="C7" s="60">
        <v>6609.36</v>
      </c>
      <c r="D7" s="60">
        <v>5268.5</v>
      </c>
      <c r="E7" s="61">
        <f>C7+D7</f>
        <v>11877.86</v>
      </c>
      <c r="F7" s="37"/>
      <c r="H7" s="3"/>
      <c r="I7" s="3"/>
    </row>
    <row r="8" spans="1:8" ht="15">
      <c r="A8" s="40" t="s">
        <v>52</v>
      </c>
      <c r="B8" s="7" t="s">
        <v>39</v>
      </c>
      <c r="C8" s="6">
        <v>3033.29</v>
      </c>
      <c r="D8" s="6">
        <v>2426.9</v>
      </c>
      <c r="E8" s="61">
        <f aca="true" t="shared" si="0" ref="E8:E44">C8+D8</f>
        <v>5460.1900000000005</v>
      </c>
      <c r="F8" s="37"/>
      <c r="H8" s="3"/>
    </row>
    <row r="9" spans="1:8" ht="15">
      <c r="A9" s="58" t="s">
        <v>53</v>
      </c>
      <c r="B9" s="7" t="s">
        <v>8</v>
      </c>
      <c r="C9" s="1">
        <v>4225.54</v>
      </c>
      <c r="D9" s="6">
        <v>3380.59</v>
      </c>
      <c r="E9" s="61">
        <f t="shared" si="0"/>
        <v>7606.13</v>
      </c>
      <c r="F9" s="37"/>
      <c r="H9" s="3"/>
    </row>
    <row r="10" spans="1:8" ht="15">
      <c r="A10" s="40" t="s">
        <v>54</v>
      </c>
      <c r="B10" s="7" t="s">
        <v>9</v>
      </c>
      <c r="C10" s="6"/>
      <c r="D10" s="6"/>
      <c r="E10" s="61">
        <f t="shared" si="0"/>
        <v>0</v>
      </c>
      <c r="F10" s="37"/>
      <c r="H10" s="3"/>
    </row>
    <row r="11" spans="1:8" ht="15">
      <c r="A11" s="58" t="s">
        <v>55</v>
      </c>
      <c r="B11" s="7" t="s">
        <v>10</v>
      </c>
      <c r="C11" s="6">
        <v>4252.2</v>
      </c>
      <c r="D11" s="6">
        <v>3381.73</v>
      </c>
      <c r="E11" s="61">
        <f t="shared" si="0"/>
        <v>7633.93</v>
      </c>
      <c r="F11" s="37"/>
      <c r="H11" s="3"/>
    </row>
    <row r="12" spans="1:8" ht="15">
      <c r="A12" s="40" t="s">
        <v>56</v>
      </c>
      <c r="B12" s="7" t="s">
        <v>11</v>
      </c>
      <c r="C12" s="6">
        <v>2117.9</v>
      </c>
      <c r="D12" s="6">
        <v>1694.36</v>
      </c>
      <c r="E12" s="61">
        <f t="shared" si="0"/>
        <v>3812.26</v>
      </c>
      <c r="F12" s="37"/>
      <c r="H12" s="3"/>
    </row>
    <row r="13" spans="1:8" ht="15">
      <c r="A13" s="58" t="s">
        <v>57</v>
      </c>
      <c r="B13" s="7" t="s">
        <v>12</v>
      </c>
      <c r="C13" s="6"/>
      <c r="D13" s="6"/>
      <c r="E13" s="61">
        <f t="shared" si="0"/>
        <v>0</v>
      </c>
      <c r="F13" s="37"/>
      <c r="H13" s="3"/>
    </row>
    <row r="14" spans="1:8" ht="15">
      <c r="A14" s="40" t="s">
        <v>58</v>
      </c>
      <c r="B14" s="7" t="s">
        <v>13</v>
      </c>
      <c r="C14" s="6">
        <v>6181.17</v>
      </c>
      <c r="D14" s="6">
        <v>4945.14</v>
      </c>
      <c r="E14" s="61">
        <f t="shared" si="0"/>
        <v>11126.310000000001</v>
      </c>
      <c r="F14" s="37"/>
      <c r="H14" s="3"/>
    </row>
    <row r="15" spans="1:8" ht="15">
      <c r="A15" s="58" t="s">
        <v>59</v>
      </c>
      <c r="B15" s="7" t="s">
        <v>112</v>
      </c>
      <c r="C15" s="6">
        <v>6648.49</v>
      </c>
      <c r="D15" s="6">
        <v>5319.72</v>
      </c>
      <c r="E15" s="61">
        <f t="shared" si="0"/>
        <v>11968.21</v>
      </c>
      <c r="F15" s="37"/>
      <c r="H15" s="3"/>
    </row>
    <row r="16" spans="1:8" ht="15">
      <c r="A16" s="40" t="s">
        <v>60</v>
      </c>
      <c r="B16" s="7" t="s">
        <v>14</v>
      </c>
      <c r="C16" s="6">
        <v>707.34</v>
      </c>
      <c r="D16" s="6">
        <v>565.86</v>
      </c>
      <c r="E16" s="61">
        <f t="shared" si="0"/>
        <v>1273.2</v>
      </c>
      <c r="F16" s="37"/>
      <c r="H16" s="3"/>
    </row>
    <row r="17" spans="1:8" ht="15">
      <c r="A17" s="58" t="s">
        <v>61</v>
      </c>
      <c r="B17" s="7" t="s">
        <v>15</v>
      </c>
      <c r="C17" s="6">
        <v>3386.14</v>
      </c>
      <c r="D17" s="6">
        <v>2709.09</v>
      </c>
      <c r="E17" s="61">
        <f t="shared" si="0"/>
        <v>6095.23</v>
      </c>
      <c r="F17" s="37"/>
      <c r="H17" s="3"/>
    </row>
    <row r="18" spans="1:8" ht="15">
      <c r="A18" s="40" t="s">
        <v>62</v>
      </c>
      <c r="B18" s="7" t="s">
        <v>40</v>
      </c>
      <c r="C18" s="6">
        <v>10542.14</v>
      </c>
      <c r="D18" s="6">
        <v>8434.64</v>
      </c>
      <c r="E18" s="61">
        <f t="shared" si="0"/>
        <v>18976.78</v>
      </c>
      <c r="F18" s="37"/>
      <c r="H18" s="3"/>
    </row>
    <row r="19" spans="1:8" ht="15">
      <c r="A19" s="58" t="s">
        <v>63</v>
      </c>
      <c r="B19" s="7" t="s">
        <v>17</v>
      </c>
      <c r="C19" s="6">
        <v>6284.84</v>
      </c>
      <c r="D19" s="6">
        <v>5028.08</v>
      </c>
      <c r="E19" s="61">
        <f t="shared" si="0"/>
        <v>11312.92</v>
      </c>
      <c r="F19" s="37"/>
      <c r="H19" s="3"/>
    </row>
    <row r="20" spans="1:8" ht="15">
      <c r="A20" s="40" t="s">
        <v>64</v>
      </c>
      <c r="B20" s="7" t="s">
        <v>18</v>
      </c>
      <c r="C20" s="6">
        <v>813.95</v>
      </c>
      <c r="D20" s="6">
        <v>651.23</v>
      </c>
      <c r="E20" s="61">
        <f t="shared" si="0"/>
        <v>1465.18</v>
      </c>
      <c r="F20" s="37"/>
      <c r="H20" s="3"/>
    </row>
    <row r="21" spans="1:8" ht="15">
      <c r="A21" s="58" t="s">
        <v>65</v>
      </c>
      <c r="B21" s="7" t="s">
        <v>19</v>
      </c>
      <c r="C21" s="6">
        <v>3441.03</v>
      </c>
      <c r="D21" s="6">
        <v>2753.01</v>
      </c>
      <c r="E21" s="61">
        <f t="shared" si="0"/>
        <v>6194.040000000001</v>
      </c>
      <c r="F21" s="37"/>
      <c r="H21" s="3"/>
    </row>
    <row r="22" spans="1:8" ht="15">
      <c r="A22" s="40" t="s">
        <v>66</v>
      </c>
      <c r="B22" s="7" t="s">
        <v>20</v>
      </c>
      <c r="C22" s="6">
        <v>3703.38</v>
      </c>
      <c r="D22" s="6">
        <v>2963.29</v>
      </c>
      <c r="E22" s="61">
        <f t="shared" si="0"/>
        <v>6666.67</v>
      </c>
      <c r="F22" s="37"/>
      <c r="H22" s="3"/>
    </row>
    <row r="23" spans="1:8" ht="15">
      <c r="A23" s="58" t="s">
        <v>67</v>
      </c>
      <c r="B23" s="7" t="s">
        <v>21</v>
      </c>
      <c r="C23" s="6"/>
      <c r="D23" s="6"/>
      <c r="E23" s="61">
        <f t="shared" si="0"/>
        <v>0</v>
      </c>
      <c r="F23" s="37"/>
      <c r="H23" s="3"/>
    </row>
    <row r="24" spans="1:8" ht="15">
      <c r="A24" s="40" t="s">
        <v>68</v>
      </c>
      <c r="B24" s="7" t="s">
        <v>22</v>
      </c>
      <c r="C24" s="6">
        <v>520.79</v>
      </c>
      <c r="D24" s="6">
        <v>416.64</v>
      </c>
      <c r="E24" s="61">
        <f t="shared" si="0"/>
        <v>937.43</v>
      </c>
      <c r="F24" s="37"/>
      <c r="H24" s="3"/>
    </row>
    <row r="25" spans="1:8" ht="15">
      <c r="A25" s="58" t="s">
        <v>69</v>
      </c>
      <c r="B25" s="7" t="s">
        <v>23</v>
      </c>
      <c r="C25" s="6">
        <v>785.75</v>
      </c>
      <c r="D25" s="6">
        <v>628.59</v>
      </c>
      <c r="E25" s="61">
        <f t="shared" si="0"/>
        <v>1414.3400000000001</v>
      </c>
      <c r="F25" s="37"/>
      <c r="H25" s="3"/>
    </row>
    <row r="26" spans="1:8" ht="15">
      <c r="A26" s="40" t="s">
        <v>70</v>
      </c>
      <c r="B26" s="7" t="s">
        <v>24</v>
      </c>
      <c r="C26" s="6">
        <v>2622.66</v>
      </c>
      <c r="D26" s="6">
        <v>2098.26</v>
      </c>
      <c r="E26" s="61">
        <f t="shared" si="0"/>
        <v>4720.92</v>
      </c>
      <c r="F26" s="37"/>
      <c r="H26" s="3"/>
    </row>
    <row r="27" spans="1:8" ht="15">
      <c r="A27" s="58" t="s">
        <v>71</v>
      </c>
      <c r="B27" s="7" t="s">
        <v>25</v>
      </c>
      <c r="C27" s="6">
        <v>5894.49</v>
      </c>
      <c r="D27" s="6">
        <v>4716.71</v>
      </c>
      <c r="E27" s="61">
        <f t="shared" si="0"/>
        <v>10611.2</v>
      </c>
      <c r="F27" s="37"/>
      <c r="H27" s="3"/>
    </row>
    <row r="28" spans="1:8" ht="15">
      <c r="A28" s="40" t="s">
        <v>72</v>
      </c>
      <c r="B28" s="7" t="s">
        <v>26</v>
      </c>
      <c r="C28" s="6">
        <v>1005.75</v>
      </c>
      <c r="D28" s="6">
        <v>804.54</v>
      </c>
      <c r="E28" s="61">
        <f t="shared" si="0"/>
        <v>1810.29</v>
      </c>
      <c r="F28" s="37"/>
      <c r="H28" s="3"/>
    </row>
    <row r="29" spans="1:8" ht="15">
      <c r="A29" s="58" t="s">
        <v>73</v>
      </c>
      <c r="B29" s="7" t="s">
        <v>27</v>
      </c>
      <c r="C29" s="6">
        <v>2588.29</v>
      </c>
      <c r="D29" s="6">
        <v>2070.78</v>
      </c>
      <c r="E29" s="61">
        <f t="shared" si="0"/>
        <v>4659.07</v>
      </c>
      <c r="F29" s="37"/>
      <c r="H29" s="3"/>
    </row>
    <row r="30" spans="1:8" ht="15">
      <c r="A30" s="40" t="s">
        <v>74</v>
      </c>
      <c r="B30" s="7" t="s">
        <v>28</v>
      </c>
      <c r="C30" s="6">
        <v>6077.92</v>
      </c>
      <c r="D30" s="6">
        <v>4863.7</v>
      </c>
      <c r="E30" s="61">
        <f t="shared" si="0"/>
        <v>10941.619999999999</v>
      </c>
      <c r="F30" s="37"/>
      <c r="H30" s="3"/>
    </row>
    <row r="31" spans="1:8" ht="15">
      <c r="A31" s="58" t="s">
        <v>75</v>
      </c>
      <c r="B31" s="7" t="s">
        <v>29</v>
      </c>
      <c r="C31" s="6">
        <v>103.64</v>
      </c>
      <c r="D31" s="6">
        <v>82.9</v>
      </c>
      <c r="E31" s="61">
        <f t="shared" si="0"/>
        <v>186.54000000000002</v>
      </c>
      <c r="F31" s="37"/>
      <c r="H31" s="3"/>
    </row>
    <row r="32" spans="1:8" ht="15">
      <c r="A32" s="40" t="s">
        <v>76</v>
      </c>
      <c r="B32" s="7" t="s">
        <v>30</v>
      </c>
      <c r="C32" s="6">
        <v>2398.83</v>
      </c>
      <c r="D32" s="6">
        <v>1919.2</v>
      </c>
      <c r="E32" s="61">
        <f t="shared" si="0"/>
        <v>4318.03</v>
      </c>
      <c r="F32" s="37"/>
      <c r="H32" s="3"/>
    </row>
    <row r="33" spans="1:8" ht="15">
      <c r="A33" s="58" t="s">
        <v>77</v>
      </c>
      <c r="B33" s="7" t="s">
        <v>31</v>
      </c>
      <c r="C33" s="6">
        <v>2015.82</v>
      </c>
      <c r="D33" s="6">
        <v>1612.79</v>
      </c>
      <c r="E33" s="61">
        <f t="shared" si="0"/>
        <v>3628.6099999999997</v>
      </c>
      <c r="F33" s="37"/>
      <c r="H33" s="3"/>
    </row>
    <row r="34" spans="1:8" ht="15">
      <c r="A34" s="40" t="s">
        <v>78</v>
      </c>
      <c r="B34" s="7" t="s">
        <v>32</v>
      </c>
      <c r="C34" s="6">
        <v>7762.67</v>
      </c>
      <c r="D34" s="6">
        <v>6210.57</v>
      </c>
      <c r="E34" s="61">
        <f t="shared" si="0"/>
        <v>13973.24</v>
      </c>
      <c r="F34" s="37"/>
      <c r="H34" s="3"/>
    </row>
    <row r="35" spans="1:8" ht="15">
      <c r="A35" s="58" t="s">
        <v>80</v>
      </c>
      <c r="B35" s="7" t="s">
        <v>33</v>
      </c>
      <c r="C35" s="6">
        <v>8217.17</v>
      </c>
      <c r="D35" s="6">
        <v>6574.87</v>
      </c>
      <c r="E35" s="61">
        <f t="shared" si="0"/>
        <v>14792.04</v>
      </c>
      <c r="F35" s="37"/>
      <c r="H35" s="3"/>
    </row>
    <row r="36" spans="1:8" ht="15">
      <c r="A36" s="40" t="s">
        <v>81</v>
      </c>
      <c r="B36" s="7" t="s">
        <v>34</v>
      </c>
      <c r="C36" s="6"/>
      <c r="D36" s="6"/>
      <c r="E36" s="61">
        <f t="shared" si="0"/>
        <v>0</v>
      </c>
      <c r="F36" s="37"/>
      <c r="H36" s="3"/>
    </row>
    <row r="37" spans="1:8" ht="15">
      <c r="A37" s="58" t="s">
        <v>82</v>
      </c>
      <c r="B37" s="7" t="s">
        <v>87</v>
      </c>
      <c r="C37" s="6">
        <v>656.07</v>
      </c>
      <c r="D37" s="6">
        <v>524.99</v>
      </c>
      <c r="E37" s="61">
        <f t="shared" si="0"/>
        <v>1181.06</v>
      </c>
      <c r="F37" s="37"/>
      <c r="H37" s="3"/>
    </row>
    <row r="38" spans="1:8" ht="15">
      <c r="A38" s="40" t="s">
        <v>83</v>
      </c>
      <c r="B38" s="7" t="s">
        <v>89</v>
      </c>
      <c r="C38" s="6">
        <v>2609.94</v>
      </c>
      <c r="D38" s="6">
        <v>2088.25</v>
      </c>
      <c r="E38" s="61">
        <f t="shared" si="0"/>
        <v>4698.1900000000005</v>
      </c>
      <c r="F38" s="37"/>
      <c r="H38" s="3"/>
    </row>
    <row r="39" spans="1:8" ht="15">
      <c r="A39" s="58" t="s">
        <v>84</v>
      </c>
      <c r="B39" s="7" t="s">
        <v>90</v>
      </c>
      <c r="C39" s="6">
        <v>3928.22</v>
      </c>
      <c r="D39" s="6">
        <v>3143.16</v>
      </c>
      <c r="E39" s="61">
        <f t="shared" si="0"/>
        <v>7071.379999999999</v>
      </c>
      <c r="F39" s="37"/>
      <c r="H39" s="3"/>
    </row>
    <row r="40" spans="1:8" ht="15">
      <c r="A40" s="40" t="s">
        <v>85</v>
      </c>
      <c r="B40" s="7" t="s">
        <v>93</v>
      </c>
      <c r="C40" s="6">
        <v>1963.36</v>
      </c>
      <c r="D40" s="6">
        <v>1570.69</v>
      </c>
      <c r="E40" s="61">
        <f t="shared" si="0"/>
        <v>3534.05</v>
      </c>
      <c r="F40" s="37"/>
      <c r="H40" s="3"/>
    </row>
    <row r="41" spans="1:8" ht="15">
      <c r="A41" s="58" t="s">
        <v>86</v>
      </c>
      <c r="B41" s="7" t="s">
        <v>94</v>
      </c>
      <c r="C41" s="6">
        <v>490.25</v>
      </c>
      <c r="D41" s="6">
        <v>392.24</v>
      </c>
      <c r="E41" s="61">
        <f t="shared" si="0"/>
        <v>882.49</v>
      </c>
      <c r="F41" s="37"/>
      <c r="H41" s="3"/>
    </row>
    <row r="42" spans="1:8" ht="15">
      <c r="A42" s="58" t="s">
        <v>91</v>
      </c>
      <c r="B42" s="7" t="s">
        <v>98</v>
      </c>
      <c r="C42" s="6">
        <v>1764.62</v>
      </c>
      <c r="D42" s="6">
        <v>1412.01</v>
      </c>
      <c r="E42" s="8">
        <f t="shared" si="0"/>
        <v>3176.63</v>
      </c>
      <c r="F42" s="37"/>
      <c r="H42" s="3"/>
    </row>
    <row r="43" spans="1:8" ht="15">
      <c r="A43" s="58">
        <v>37</v>
      </c>
      <c r="B43" s="7" t="s">
        <v>113</v>
      </c>
      <c r="C43" s="6">
        <v>143.88</v>
      </c>
      <c r="D43" s="6">
        <v>115.12</v>
      </c>
      <c r="E43" s="8">
        <f t="shared" si="0"/>
        <v>259</v>
      </c>
      <c r="F43" s="37"/>
      <c r="H43" s="3"/>
    </row>
    <row r="44" spans="1:8" ht="15.75" thickBot="1">
      <c r="A44" s="58">
        <v>38</v>
      </c>
      <c r="B44" s="7" t="s">
        <v>114</v>
      </c>
      <c r="C44" s="6">
        <v>507.89</v>
      </c>
      <c r="D44" s="6">
        <v>406.35</v>
      </c>
      <c r="E44" s="8">
        <f t="shared" si="0"/>
        <v>914.24</v>
      </c>
      <c r="F44" s="37"/>
      <c r="H44" s="3"/>
    </row>
    <row r="45" spans="1:8" ht="15.75" thickBot="1">
      <c r="A45" s="57"/>
      <c r="B45" s="90" t="s">
        <v>35</v>
      </c>
      <c r="C45" s="91">
        <f>SUM(C7:C44)</f>
        <v>114004.78</v>
      </c>
      <c r="D45" s="91">
        <f>SUM(D7:D44)</f>
        <v>91174.50000000001</v>
      </c>
      <c r="E45" s="92">
        <f>SUM(E7:E44)</f>
        <v>205179.27999999994</v>
      </c>
      <c r="F45" s="37"/>
      <c r="H45" s="3"/>
    </row>
    <row r="46" spans="1:6" ht="14.25">
      <c r="A46" s="37"/>
      <c r="B46" s="37"/>
      <c r="C46" s="1"/>
      <c r="D46" s="1"/>
      <c r="E46" s="41"/>
      <c r="F46" s="37"/>
    </row>
    <row r="48" ht="12.75">
      <c r="D48" s="3"/>
    </row>
    <row r="49" ht="12.75">
      <c r="C49" s="3"/>
    </row>
    <row r="50" ht="12.75">
      <c r="E50" s="3"/>
    </row>
    <row r="56" ht="12.75">
      <c r="C56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3"/>
  <sheetViews>
    <sheetView workbookViewId="0" topLeftCell="A19">
      <selection activeCell="C50" sqref="C50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5" width="13.140625" style="0" bestFit="1" customWidth="1"/>
  </cols>
  <sheetData>
    <row r="3" spans="1:7" ht="15">
      <c r="A3" s="102" t="s">
        <v>119</v>
      </c>
      <c r="B3" s="102"/>
      <c r="C3" s="102"/>
      <c r="D3" s="102"/>
      <c r="E3" s="102"/>
      <c r="F3" s="102"/>
      <c r="G3" s="102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49" t="s">
        <v>0</v>
      </c>
      <c r="B5" s="49" t="s">
        <v>1</v>
      </c>
      <c r="C5" s="51" t="s">
        <v>41</v>
      </c>
      <c r="D5" s="1"/>
      <c r="E5" s="1"/>
      <c r="F5" s="37"/>
      <c r="G5" s="37"/>
    </row>
    <row r="6" spans="1:7" ht="15">
      <c r="A6" s="40" t="s">
        <v>79</v>
      </c>
      <c r="B6" s="7" t="s">
        <v>6</v>
      </c>
      <c r="C6" s="8">
        <v>36576.94</v>
      </c>
      <c r="D6" s="1"/>
      <c r="E6" s="1"/>
      <c r="F6" s="37"/>
      <c r="G6" s="37"/>
    </row>
    <row r="7" spans="1:7" ht="15">
      <c r="A7" s="40" t="s">
        <v>52</v>
      </c>
      <c r="B7" s="7" t="s">
        <v>39</v>
      </c>
      <c r="C7" s="8">
        <v>12531.01</v>
      </c>
      <c r="D7" s="1"/>
      <c r="E7" s="1"/>
      <c r="F7" s="37"/>
      <c r="G7" s="37"/>
    </row>
    <row r="8" spans="1:7" ht="15">
      <c r="A8" s="40" t="s">
        <v>53</v>
      </c>
      <c r="B8" s="7" t="s">
        <v>8</v>
      </c>
      <c r="C8" s="8">
        <v>10609.73</v>
      </c>
      <c r="D8" s="1"/>
      <c r="E8" s="1"/>
      <c r="F8" s="37"/>
      <c r="G8" s="37"/>
    </row>
    <row r="9" spans="1:7" ht="15">
      <c r="A9" s="40" t="s">
        <v>54</v>
      </c>
      <c r="B9" s="7" t="s">
        <v>9</v>
      </c>
      <c r="C9" s="8"/>
      <c r="D9" s="1"/>
      <c r="E9" s="1"/>
      <c r="F9" s="37"/>
      <c r="G9" s="37"/>
    </row>
    <row r="10" spans="1:7" ht="15">
      <c r="A10" s="40" t="s">
        <v>55</v>
      </c>
      <c r="B10" s="7" t="s">
        <v>10</v>
      </c>
      <c r="C10" s="8">
        <v>2901.24</v>
      </c>
      <c r="D10" s="1"/>
      <c r="E10" s="1"/>
      <c r="F10" s="37"/>
      <c r="G10" s="37"/>
    </row>
    <row r="11" spans="1:7" ht="15">
      <c r="A11" s="40" t="s">
        <v>56</v>
      </c>
      <c r="B11" s="7" t="s">
        <v>11</v>
      </c>
      <c r="C11" s="8">
        <v>20533.53</v>
      </c>
      <c r="D11" s="1"/>
      <c r="E11" s="1"/>
      <c r="F11" s="37"/>
      <c r="G11" s="37"/>
    </row>
    <row r="12" spans="1:7" ht="15">
      <c r="A12" s="40" t="s">
        <v>57</v>
      </c>
      <c r="B12" s="7" t="s">
        <v>12</v>
      </c>
      <c r="C12" s="8"/>
      <c r="D12" s="1"/>
      <c r="E12" s="1"/>
      <c r="F12" s="37"/>
      <c r="G12" s="37"/>
    </row>
    <row r="13" spans="1:7" ht="15">
      <c r="A13" s="40" t="s">
        <v>58</v>
      </c>
      <c r="B13" s="7" t="s">
        <v>13</v>
      </c>
      <c r="C13" s="8">
        <v>50415.3</v>
      </c>
      <c r="D13" s="1"/>
      <c r="E13" s="1"/>
      <c r="F13" s="37"/>
      <c r="G13" s="37"/>
    </row>
    <row r="14" spans="1:7" ht="15">
      <c r="A14" s="40" t="s">
        <v>59</v>
      </c>
      <c r="B14" s="7" t="s">
        <v>112</v>
      </c>
      <c r="C14" s="8">
        <v>23272.82</v>
      </c>
      <c r="D14" s="1"/>
      <c r="E14" s="1"/>
      <c r="F14" s="37"/>
      <c r="G14" s="37"/>
    </row>
    <row r="15" spans="1:7" ht="15">
      <c r="A15" s="40" t="s">
        <v>60</v>
      </c>
      <c r="B15" s="7" t="s">
        <v>14</v>
      </c>
      <c r="C15" s="8">
        <v>33110.36</v>
      </c>
      <c r="D15" s="1"/>
      <c r="E15" s="1"/>
      <c r="F15" s="37"/>
      <c r="G15" s="37"/>
    </row>
    <row r="16" spans="1:7" ht="15">
      <c r="A16" s="40" t="s">
        <v>61</v>
      </c>
      <c r="B16" s="7" t="s">
        <v>15</v>
      </c>
      <c r="C16" s="8">
        <v>11494.36</v>
      </c>
      <c r="D16" s="1"/>
      <c r="E16" s="1"/>
      <c r="F16" s="37"/>
      <c r="G16" s="37"/>
    </row>
    <row r="17" spans="1:7" ht="15">
      <c r="A17" s="40" t="s">
        <v>62</v>
      </c>
      <c r="B17" s="7" t="s">
        <v>40</v>
      </c>
      <c r="C17" s="8">
        <v>41913.64</v>
      </c>
      <c r="D17" s="1"/>
      <c r="E17" s="1"/>
      <c r="F17" s="37"/>
      <c r="G17" s="37"/>
    </row>
    <row r="18" spans="1:7" ht="15">
      <c r="A18" s="40" t="s">
        <v>63</v>
      </c>
      <c r="B18" s="7" t="s">
        <v>17</v>
      </c>
      <c r="C18" s="8">
        <v>18522.13</v>
      </c>
      <c r="D18" s="1"/>
      <c r="E18" s="1"/>
      <c r="F18" s="37"/>
      <c r="G18" s="37"/>
    </row>
    <row r="19" spans="1:7" ht="15">
      <c r="A19" s="40" t="s">
        <v>64</v>
      </c>
      <c r="B19" s="7" t="s">
        <v>18</v>
      </c>
      <c r="C19" s="8">
        <v>4355.12</v>
      </c>
      <c r="D19" s="1"/>
      <c r="E19" s="1"/>
      <c r="F19" s="37"/>
      <c r="G19" s="37"/>
    </row>
    <row r="20" spans="1:7" ht="15">
      <c r="A20" s="40" t="s">
        <v>65</v>
      </c>
      <c r="B20" s="7" t="s">
        <v>19</v>
      </c>
      <c r="C20" s="8">
        <v>8376.8</v>
      </c>
      <c r="D20" s="1"/>
      <c r="E20" s="1"/>
      <c r="F20" s="37"/>
      <c r="G20" s="37"/>
    </row>
    <row r="21" spans="1:7" ht="15">
      <c r="A21" s="40" t="s">
        <v>66</v>
      </c>
      <c r="B21" s="7" t="s">
        <v>20</v>
      </c>
      <c r="C21" s="8">
        <v>1364.39</v>
      </c>
      <c r="D21" s="1"/>
      <c r="E21" s="1"/>
      <c r="F21" s="37"/>
      <c r="G21" s="37"/>
    </row>
    <row r="22" spans="1:7" ht="15">
      <c r="A22" s="40" t="s">
        <v>67</v>
      </c>
      <c r="B22" s="7" t="s">
        <v>21</v>
      </c>
      <c r="C22" s="8"/>
      <c r="D22" s="1"/>
      <c r="E22" s="1"/>
      <c r="F22" s="37"/>
      <c r="G22" s="37"/>
    </row>
    <row r="23" spans="1:7" ht="15">
      <c r="A23" s="40" t="s">
        <v>68</v>
      </c>
      <c r="B23" s="7" t="s">
        <v>22</v>
      </c>
      <c r="C23" s="8">
        <v>236.62</v>
      </c>
      <c r="D23" s="1"/>
      <c r="E23" s="1"/>
      <c r="F23" s="37"/>
      <c r="G23" s="37"/>
    </row>
    <row r="24" spans="1:7" ht="15">
      <c r="A24" s="40" t="s">
        <v>69</v>
      </c>
      <c r="B24" s="7" t="s">
        <v>23</v>
      </c>
      <c r="C24" s="8">
        <v>1817.77</v>
      </c>
      <c r="D24" s="1"/>
      <c r="E24" s="1"/>
      <c r="F24" s="37"/>
      <c r="G24" s="37"/>
    </row>
    <row r="25" spans="1:7" ht="15">
      <c r="A25" s="40" t="s">
        <v>70</v>
      </c>
      <c r="B25" s="7" t="s">
        <v>24</v>
      </c>
      <c r="C25" s="8">
        <v>3891.55</v>
      </c>
      <c r="D25" s="1"/>
      <c r="E25" s="1"/>
      <c r="F25" s="37"/>
      <c r="G25" s="37"/>
    </row>
    <row r="26" spans="1:7" ht="15">
      <c r="A26" s="40" t="s">
        <v>71</v>
      </c>
      <c r="B26" s="7" t="s">
        <v>25</v>
      </c>
      <c r="C26" s="8">
        <v>28166.3</v>
      </c>
      <c r="D26" s="1"/>
      <c r="E26" s="1"/>
      <c r="F26" s="37"/>
      <c r="G26" s="37"/>
    </row>
    <row r="27" spans="1:7" ht="15">
      <c r="A27" s="40" t="s">
        <v>72</v>
      </c>
      <c r="B27" s="7" t="s">
        <v>26</v>
      </c>
      <c r="C27" s="8">
        <v>746.84</v>
      </c>
      <c r="D27" s="1"/>
      <c r="E27" s="1"/>
      <c r="F27" s="37"/>
      <c r="G27" s="37"/>
    </row>
    <row r="28" spans="1:7" ht="15">
      <c r="A28" s="40" t="s">
        <v>73</v>
      </c>
      <c r="B28" s="7" t="s">
        <v>27</v>
      </c>
      <c r="C28" s="8">
        <v>3082.33</v>
      </c>
      <c r="D28" s="1"/>
      <c r="E28" s="1"/>
      <c r="F28" s="37"/>
      <c r="G28" s="37"/>
    </row>
    <row r="29" spans="1:7" ht="15">
      <c r="A29" s="40" t="s">
        <v>74</v>
      </c>
      <c r="B29" s="7" t="s">
        <v>28</v>
      </c>
      <c r="C29" s="8">
        <v>30515.88</v>
      </c>
      <c r="D29" s="1"/>
      <c r="E29" s="1"/>
      <c r="F29" s="37"/>
      <c r="G29" s="37"/>
    </row>
    <row r="30" spans="1:7" ht="15">
      <c r="A30" s="40" t="s">
        <v>75</v>
      </c>
      <c r="B30" s="7" t="s">
        <v>29</v>
      </c>
      <c r="C30" s="8">
        <v>5966.39</v>
      </c>
      <c r="D30" s="1"/>
      <c r="E30" s="1"/>
      <c r="F30" s="37"/>
      <c r="G30" s="37"/>
    </row>
    <row r="31" spans="1:7" ht="15">
      <c r="A31" s="40" t="s">
        <v>76</v>
      </c>
      <c r="B31" s="7" t="s">
        <v>30</v>
      </c>
      <c r="C31" s="8">
        <v>6969.87</v>
      </c>
      <c r="D31" s="1"/>
      <c r="E31" s="1"/>
      <c r="F31" s="37"/>
      <c r="G31" s="37"/>
    </row>
    <row r="32" spans="1:7" ht="15">
      <c r="A32" s="40" t="s">
        <v>77</v>
      </c>
      <c r="B32" s="7" t="s">
        <v>31</v>
      </c>
      <c r="C32" s="8">
        <v>4201.62</v>
      </c>
      <c r="D32" s="1"/>
      <c r="E32" s="1"/>
      <c r="F32" s="37"/>
      <c r="G32" s="37"/>
    </row>
    <row r="33" spans="1:7" ht="15">
      <c r="A33" s="40" t="s">
        <v>78</v>
      </c>
      <c r="B33" s="7" t="s">
        <v>32</v>
      </c>
      <c r="C33" s="8">
        <v>17000.27</v>
      </c>
      <c r="D33" s="1"/>
      <c r="E33" s="1"/>
      <c r="F33" s="37"/>
      <c r="G33" s="37"/>
    </row>
    <row r="34" spans="1:7" ht="15">
      <c r="A34" s="40" t="s">
        <v>80</v>
      </c>
      <c r="B34" s="7" t="s">
        <v>33</v>
      </c>
      <c r="C34" s="8">
        <v>6003.71</v>
      </c>
      <c r="D34" s="1"/>
      <c r="E34" s="1"/>
      <c r="F34" s="37"/>
      <c r="G34" s="37"/>
    </row>
    <row r="35" spans="1:7" ht="15">
      <c r="A35" s="40" t="s">
        <v>81</v>
      </c>
      <c r="B35" s="7" t="s">
        <v>34</v>
      </c>
      <c r="C35" s="8"/>
      <c r="D35" s="1"/>
      <c r="E35" s="1"/>
      <c r="F35" s="37"/>
      <c r="G35" s="37"/>
    </row>
    <row r="36" spans="1:7" ht="15">
      <c r="A36" s="40" t="s">
        <v>82</v>
      </c>
      <c r="B36" s="7" t="s">
        <v>87</v>
      </c>
      <c r="C36" s="8">
        <v>486.92</v>
      </c>
      <c r="D36" s="1"/>
      <c r="E36" s="1"/>
      <c r="F36" s="37"/>
      <c r="G36" s="37"/>
    </row>
    <row r="37" spans="1:7" ht="15">
      <c r="A37" s="40" t="s">
        <v>83</v>
      </c>
      <c r="B37" s="7" t="s">
        <v>89</v>
      </c>
      <c r="C37" s="8">
        <v>12380.58</v>
      </c>
      <c r="D37" s="1"/>
      <c r="E37" s="1"/>
      <c r="F37" s="37"/>
      <c r="G37" s="37"/>
    </row>
    <row r="38" spans="1:7" ht="15">
      <c r="A38" s="40" t="s">
        <v>84</v>
      </c>
      <c r="B38" s="7" t="s">
        <v>90</v>
      </c>
      <c r="C38" s="8">
        <v>6578.27</v>
      </c>
      <c r="D38" s="1"/>
      <c r="E38" s="1"/>
      <c r="F38" s="37"/>
      <c r="G38" s="37"/>
    </row>
    <row r="39" spans="1:7" ht="15">
      <c r="A39" s="40" t="s">
        <v>85</v>
      </c>
      <c r="B39" s="7" t="s">
        <v>93</v>
      </c>
      <c r="C39" s="8">
        <v>1183.45</v>
      </c>
      <c r="D39" s="1"/>
      <c r="E39" s="1"/>
      <c r="F39" s="37"/>
      <c r="G39" s="37"/>
    </row>
    <row r="40" spans="1:7" ht="15">
      <c r="A40" s="40" t="s">
        <v>86</v>
      </c>
      <c r="B40" s="7" t="s">
        <v>94</v>
      </c>
      <c r="C40" s="8">
        <v>547.26</v>
      </c>
      <c r="D40" s="1"/>
      <c r="E40" s="1"/>
      <c r="F40" s="37"/>
      <c r="G40" s="37"/>
    </row>
    <row r="41" spans="1:7" ht="15">
      <c r="A41" s="40" t="s">
        <v>91</v>
      </c>
      <c r="B41" s="7" t="s">
        <v>98</v>
      </c>
      <c r="C41" s="8">
        <v>2321.88</v>
      </c>
      <c r="D41" s="1"/>
      <c r="E41" s="1"/>
      <c r="F41" s="37"/>
      <c r="G41" s="37"/>
    </row>
    <row r="42" spans="1:7" ht="15">
      <c r="A42" s="40" t="s">
        <v>115</v>
      </c>
      <c r="B42" s="7" t="s">
        <v>113</v>
      </c>
      <c r="C42" s="8">
        <v>299.04</v>
      </c>
      <c r="D42" s="1"/>
      <c r="E42" s="1"/>
      <c r="F42" s="37"/>
      <c r="G42" s="37"/>
    </row>
    <row r="43" spans="1:7" ht="15">
      <c r="A43" s="40" t="s">
        <v>116</v>
      </c>
      <c r="B43" s="7" t="s">
        <v>114</v>
      </c>
      <c r="C43" s="8">
        <v>165.06</v>
      </c>
      <c r="D43" s="1"/>
      <c r="E43" s="1"/>
      <c r="F43" s="37"/>
      <c r="G43" s="37"/>
    </row>
    <row r="44" spans="1:7" ht="15">
      <c r="A44" s="52"/>
      <c r="B44" s="7" t="s">
        <v>35</v>
      </c>
      <c r="C44" s="8">
        <f>SUM(C6:C43)</f>
        <v>408538.9800000001</v>
      </c>
      <c r="D44" s="1"/>
      <c r="E44" s="1"/>
      <c r="F44" s="37"/>
      <c r="G44" s="37"/>
    </row>
    <row r="45" spans="1:7" ht="14.25">
      <c r="A45" s="37"/>
      <c r="B45" s="37"/>
      <c r="C45" s="39"/>
      <c r="D45" s="1"/>
      <c r="E45" s="1"/>
      <c r="F45" s="37"/>
      <c r="G45" s="37"/>
    </row>
    <row r="46" spans="1:7" ht="14.25">
      <c r="A46" s="37"/>
      <c r="B46" s="37"/>
      <c r="C46" s="39"/>
      <c r="D46" s="1"/>
      <c r="E46" s="37"/>
      <c r="F46" s="37"/>
      <c r="G46" s="37"/>
    </row>
    <row r="47" ht="12.75">
      <c r="C47" s="3"/>
    </row>
    <row r="48" spans="2:4" ht="12.75">
      <c r="B48" s="3"/>
      <c r="C48" s="3"/>
      <c r="D48" s="5"/>
    </row>
    <row r="49" spans="3:4" ht="12.75">
      <c r="C49" s="3"/>
      <c r="D49" s="3"/>
    </row>
    <row r="50" spans="3:4" ht="12.75">
      <c r="C50" s="3"/>
      <c r="D50" s="3"/>
    </row>
    <row r="52" spans="3:4" ht="12.75">
      <c r="C52" s="3"/>
      <c r="D52" s="3"/>
    </row>
    <row r="53" ht="12.75">
      <c r="D53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9"/>
  <sheetViews>
    <sheetView workbookViewId="0" topLeftCell="A4">
      <selection activeCell="C46" sqref="C46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103" t="s">
        <v>120</v>
      </c>
      <c r="B4" s="103"/>
      <c r="C4" s="103"/>
      <c r="D4" s="103"/>
      <c r="E4" s="103"/>
      <c r="F4" s="103"/>
      <c r="G4" s="103"/>
      <c r="H4" s="103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49" t="s">
        <v>0</v>
      </c>
      <c r="B6" s="49" t="s">
        <v>1</v>
      </c>
      <c r="C6" s="50" t="s">
        <v>42</v>
      </c>
      <c r="D6" s="42"/>
      <c r="E6" s="37"/>
      <c r="F6" s="37"/>
      <c r="G6" s="37"/>
      <c r="H6" s="37"/>
    </row>
    <row r="7" spans="1:8" ht="15">
      <c r="A7" s="40" t="s">
        <v>79</v>
      </c>
      <c r="B7" s="7" t="s">
        <v>6</v>
      </c>
      <c r="C7" s="7">
        <v>20191.03</v>
      </c>
      <c r="D7" s="42"/>
      <c r="E7" s="37"/>
      <c r="F7" s="37"/>
      <c r="G7" s="37"/>
      <c r="H7" s="37"/>
    </row>
    <row r="8" spans="1:8" ht="15">
      <c r="A8" s="40" t="s">
        <v>52</v>
      </c>
      <c r="B8" s="7" t="s">
        <v>39</v>
      </c>
      <c r="C8" s="7"/>
      <c r="D8" s="42"/>
      <c r="E8" s="37"/>
      <c r="F8" s="37"/>
      <c r="G8" s="37"/>
      <c r="H8" s="37"/>
    </row>
    <row r="9" spans="1:8" ht="15">
      <c r="A9" s="40" t="s">
        <v>53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54</v>
      </c>
      <c r="B10" s="7" t="s">
        <v>9</v>
      </c>
      <c r="C10" s="7"/>
      <c r="D10" s="42"/>
      <c r="E10" s="37"/>
      <c r="F10" s="37"/>
      <c r="G10" s="37"/>
      <c r="H10" s="37"/>
    </row>
    <row r="11" spans="1:8" ht="15">
      <c r="A11" s="40" t="s">
        <v>55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56</v>
      </c>
      <c r="B12" s="7" t="s">
        <v>11</v>
      </c>
      <c r="C12" s="7">
        <v>2678.72</v>
      </c>
      <c r="D12" s="42"/>
      <c r="E12" s="37"/>
      <c r="F12" s="37"/>
      <c r="G12" s="37"/>
      <c r="H12" s="37"/>
    </row>
    <row r="13" spans="1:8" ht="15">
      <c r="A13" s="40" t="s">
        <v>57</v>
      </c>
      <c r="B13" s="7" t="s">
        <v>12</v>
      </c>
      <c r="C13" s="7"/>
      <c r="D13" s="42"/>
      <c r="E13" s="37"/>
      <c r="F13" s="37"/>
      <c r="G13" s="37"/>
      <c r="H13" s="37"/>
    </row>
    <row r="14" spans="1:8" ht="15">
      <c r="A14" s="40" t="s">
        <v>58</v>
      </c>
      <c r="B14" s="7" t="s">
        <v>13</v>
      </c>
      <c r="C14" s="7">
        <v>9679.86</v>
      </c>
      <c r="D14" s="42"/>
      <c r="E14" s="37"/>
      <c r="F14" s="37"/>
      <c r="G14" s="37"/>
      <c r="H14" s="37"/>
    </row>
    <row r="15" spans="1:8" ht="15">
      <c r="A15" s="40" t="s">
        <v>59</v>
      </c>
      <c r="B15" s="7" t="s">
        <v>112</v>
      </c>
      <c r="C15" s="7">
        <v>2369.32</v>
      </c>
      <c r="D15" s="42"/>
      <c r="E15" s="37"/>
      <c r="F15" s="37"/>
      <c r="G15" s="37"/>
      <c r="H15" s="37"/>
    </row>
    <row r="16" spans="1:8" ht="15">
      <c r="A16" s="40" t="s">
        <v>60</v>
      </c>
      <c r="B16" s="7" t="s">
        <v>14</v>
      </c>
      <c r="C16" s="7">
        <v>31127.08</v>
      </c>
      <c r="D16" s="42"/>
      <c r="E16" s="37"/>
      <c r="F16" s="37"/>
      <c r="G16" s="37"/>
      <c r="H16" s="37"/>
    </row>
    <row r="17" spans="1:8" ht="15">
      <c r="A17" s="40" t="s">
        <v>61</v>
      </c>
      <c r="B17" s="7" t="s">
        <v>15</v>
      </c>
      <c r="C17" s="7">
        <v>4591.84</v>
      </c>
      <c r="D17" s="42"/>
      <c r="E17" s="37"/>
      <c r="F17" s="37"/>
      <c r="G17" s="37"/>
      <c r="H17" s="37"/>
    </row>
    <row r="18" spans="1:8" ht="15">
      <c r="A18" s="40" t="s">
        <v>62</v>
      </c>
      <c r="B18" s="7" t="s">
        <v>40</v>
      </c>
      <c r="C18" s="7">
        <v>3477.27</v>
      </c>
      <c r="D18" s="42"/>
      <c r="E18" s="37"/>
      <c r="F18" s="37"/>
      <c r="G18" s="37"/>
      <c r="H18" s="37"/>
    </row>
    <row r="19" spans="1:8" ht="15">
      <c r="A19" s="40" t="s">
        <v>63</v>
      </c>
      <c r="B19" s="7" t="s">
        <v>17</v>
      </c>
      <c r="C19" s="7">
        <v>5476.42</v>
      </c>
      <c r="D19" s="42"/>
      <c r="E19" s="37"/>
      <c r="F19" s="37"/>
      <c r="G19" s="37"/>
      <c r="H19" s="37"/>
    </row>
    <row r="20" spans="1:8" ht="15">
      <c r="A20" s="40" t="s">
        <v>64</v>
      </c>
      <c r="B20" s="7" t="s">
        <v>18</v>
      </c>
      <c r="C20" s="7">
        <v>2186.96</v>
      </c>
      <c r="D20" s="42"/>
      <c r="E20" s="37"/>
      <c r="F20" s="37"/>
      <c r="G20" s="37"/>
      <c r="H20" s="37"/>
    </row>
    <row r="21" spans="1:8" ht="15">
      <c r="A21" s="40" t="s">
        <v>65</v>
      </c>
      <c r="B21" s="7" t="s">
        <v>19</v>
      </c>
      <c r="C21" s="7">
        <v>9884.99</v>
      </c>
      <c r="D21" s="42"/>
      <c r="E21" s="37"/>
      <c r="F21" s="37"/>
      <c r="G21" s="37"/>
      <c r="H21" s="37"/>
    </row>
    <row r="22" spans="1:8" ht="15">
      <c r="A22" s="40" t="s">
        <v>66</v>
      </c>
      <c r="B22" s="7" t="s">
        <v>20</v>
      </c>
      <c r="C22" s="7"/>
      <c r="D22" s="42"/>
      <c r="E22" s="37"/>
      <c r="F22" s="37"/>
      <c r="G22" s="37"/>
      <c r="H22" s="37"/>
    </row>
    <row r="23" spans="1:8" ht="15">
      <c r="A23" s="40" t="s">
        <v>67</v>
      </c>
      <c r="B23" s="7" t="s">
        <v>21</v>
      </c>
      <c r="C23" s="7"/>
      <c r="D23" s="42"/>
      <c r="E23" s="37"/>
      <c r="F23" s="37"/>
      <c r="G23" s="37"/>
      <c r="H23" s="37"/>
    </row>
    <row r="24" spans="1:8" ht="15">
      <c r="A24" s="40" t="s">
        <v>68</v>
      </c>
      <c r="B24" s="7" t="s">
        <v>22</v>
      </c>
      <c r="C24" s="7"/>
      <c r="D24" s="42"/>
      <c r="E24" s="37"/>
      <c r="F24" s="37"/>
      <c r="G24" s="37"/>
      <c r="H24" s="37"/>
    </row>
    <row r="25" spans="1:8" ht="15">
      <c r="A25" s="40" t="s">
        <v>69</v>
      </c>
      <c r="B25" s="7" t="s">
        <v>23</v>
      </c>
      <c r="C25" s="7"/>
      <c r="D25" s="42"/>
      <c r="E25" s="37"/>
      <c r="F25" s="37"/>
      <c r="G25" s="37"/>
      <c r="H25" s="37"/>
    </row>
    <row r="26" spans="1:8" ht="15">
      <c r="A26" s="40" t="s">
        <v>70</v>
      </c>
      <c r="B26" s="7" t="s">
        <v>24</v>
      </c>
      <c r="C26" s="7">
        <v>4071.72</v>
      </c>
      <c r="D26" s="42"/>
      <c r="E26" s="37"/>
      <c r="F26" s="37"/>
      <c r="G26" s="37"/>
      <c r="H26" s="37"/>
    </row>
    <row r="27" spans="1:8" ht="15">
      <c r="A27" s="40" t="s">
        <v>71</v>
      </c>
      <c r="B27" s="7" t="s">
        <v>25</v>
      </c>
      <c r="C27" s="7">
        <v>3895.14</v>
      </c>
      <c r="D27" s="42"/>
      <c r="E27" s="37"/>
      <c r="F27" s="37"/>
      <c r="G27" s="37"/>
      <c r="H27" s="37"/>
    </row>
    <row r="28" spans="1:8" ht="15">
      <c r="A28" s="40" t="s">
        <v>72</v>
      </c>
      <c r="B28" s="7" t="s">
        <v>26</v>
      </c>
      <c r="C28" s="7">
        <v>223.23</v>
      </c>
      <c r="D28" s="42"/>
      <c r="E28" s="37"/>
      <c r="F28" s="37"/>
      <c r="G28" s="37"/>
      <c r="H28" s="37"/>
    </row>
    <row r="29" spans="1:8" ht="15">
      <c r="A29" s="40" t="s">
        <v>73</v>
      </c>
      <c r="B29" s="7" t="s">
        <v>27</v>
      </c>
      <c r="C29" s="7"/>
      <c r="D29" s="42"/>
      <c r="E29" s="37"/>
      <c r="F29" s="37"/>
      <c r="G29" s="37"/>
      <c r="H29" s="37"/>
    </row>
    <row r="30" spans="1:8" ht="15">
      <c r="A30" s="40" t="s">
        <v>74</v>
      </c>
      <c r="B30" s="7" t="s">
        <v>28</v>
      </c>
      <c r="C30" s="7">
        <v>4038.22</v>
      </c>
      <c r="D30" s="42"/>
      <c r="E30" s="37"/>
      <c r="F30" s="37"/>
      <c r="G30" s="37"/>
      <c r="H30" s="37"/>
    </row>
    <row r="31" spans="1:8" ht="15">
      <c r="A31" s="40" t="s">
        <v>75</v>
      </c>
      <c r="B31" s="7" t="s">
        <v>29</v>
      </c>
      <c r="C31" s="7">
        <v>6514.83</v>
      </c>
      <c r="D31" s="42"/>
      <c r="E31" s="37"/>
      <c r="F31" s="37"/>
      <c r="G31" s="37"/>
      <c r="H31" s="37"/>
    </row>
    <row r="32" spans="1:8" ht="15">
      <c r="A32" s="40" t="s">
        <v>76</v>
      </c>
      <c r="B32" s="7" t="s">
        <v>30</v>
      </c>
      <c r="C32" s="7">
        <v>1151.96</v>
      </c>
      <c r="D32" s="42"/>
      <c r="E32" s="37"/>
      <c r="F32" s="37"/>
      <c r="G32" s="37"/>
      <c r="H32" s="37"/>
    </row>
    <row r="33" spans="1:8" ht="15">
      <c r="A33" s="40" t="s">
        <v>77</v>
      </c>
      <c r="B33" s="7" t="s">
        <v>31</v>
      </c>
      <c r="C33" s="7"/>
      <c r="D33" s="42"/>
      <c r="E33" s="37"/>
      <c r="F33" s="37"/>
      <c r="G33" s="37"/>
      <c r="H33" s="37"/>
    </row>
    <row r="34" spans="1:8" ht="15">
      <c r="A34" s="40" t="s">
        <v>78</v>
      </c>
      <c r="B34" s="7" t="s">
        <v>32</v>
      </c>
      <c r="C34" s="7">
        <v>9550.95</v>
      </c>
      <c r="D34" s="42"/>
      <c r="E34" s="37"/>
      <c r="F34" s="37"/>
      <c r="G34" s="37"/>
      <c r="H34" s="37"/>
    </row>
    <row r="35" spans="1:8" ht="15">
      <c r="A35" s="40" t="s">
        <v>80</v>
      </c>
      <c r="B35" s="7" t="s">
        <v>33</v>
      </c>
      <c r="C35" s="7"/>
      <c r="D35" s="42"/>
      <c r="E35" s="37"/>
      <c r="F35" s="37"/>
      <c r="G35" s="37"/>
      <c r="H35" s="37"/>
    </row>
    <row r="36" spans="1:8" ht="15">
      <c r="A36" s="40" t="s">
        <v>81</v>
      </c>
      <c r="B36" s="7" t="s">
        <v>34</v>
      </c>
      <c r="C36" s="7"/>
      <c r="D36" s="42"/>
      <c r="E36" s="37"/>
      <c r="F36" s="37"/>
      <c r="G36" s="37"/>
      <c r="H36" s="37"/>
    </row>
    <row r="37" spans="1:8" ht="15">
      <c r="A37" s="40" t="s">
        <v>82</v>
      </c>
      <c r="B37" s="7" t="s">
        <v>87</v>
      </c>
      <c r="C37" s="7"/>
      <c r="D37" s="42"/>
      <c r="E37" s="37"/>
      <c r="F37" s="37"/>
      <c r="G37" s="37"/>
      <c r="H37" s="37"/>
    </row>
    <row r="38" spans="1:8" ht="15">
      <c r="A38" s="40" t="s">
        <v>83</v>
      </c>
      <c r="B38" s="7" t="s">
        <v>89</v>
      </c>
      <c r="C38" s="7">
        <v>3130.01</v>
      </c>
      <c r="D38" s="42"/>
      <c r="E38" s="37"/>
      <c r="F38" s="37"/>
      <c r="G38" s="37"/>
      <c r="H38" s="37"/>
    </row>
    <row r="39" spans="1:8" ht="15">
      <c r="A39" s="40" t="s">
        <v>84</v>
      </c>
      <c r="B39" s="7" t="s">
        <v>90</v>
      </c>
      <c r="C39" s="7"/>
      <c r="D39" s="42"/>
      <c r="E39" s="37"/>
      <c r="F39" s="37"/>
      <c r="G39" s="37"/>
      <c r="H39" s="37"/>
    </row>
    <row r="40" spans="1:8" ht="15">
      <c r="A40" s="40" t="s">
        <v>85</v>
      </c>
      <c r="B40" s="7" t="s">
        <v>93</v>
      </c>
      <c r="C40" s="7"/>
      <c r="D40" s="42"/>
      <c r="E40" s="37"/>
      <c r="F40" s="37"/>
      <c r="G40" s="37"/>
      <c r="H40" s="37"/>
    </row>
    <row r="41" spans="1:8" ht="15">
      <c r="A41" s="40" t="s">
        <v>86</v>
      </c>
      <c r="B41" s="7" t="s">
        <v>94</v>
      </c>
      <c r="C41" s="7"/>
      <c r="D41" s="42"/>
      <c r="E41" s="37"/>
      <c r="F41" s="37"/>
      <c r="G41" s="37"/>
      <c r="H41" s="37"/>
    </row>
    <row r="42" spans="1:8" ht="15">
      <c r="A42" s="40" t="s">
        <v>91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115</v>
      </c>
      <c r="B43" s="7" t="s">
        <v>113</v>
      </c>
      <c r="C43" s="7"/>
      <c r="D43" s="42"/>
      <c r="E43" s="37"/>
      <c r="F43" s="37"/>
      <c r="G43" s="37"/>
      <c r="H43" s="37"/>
    </row>
    <row r="44" spans="1:8" ht="15">
      <c r="A44" s="40" t="s">
        <v>116</v>
      </c>
      <c r="B44" s="7" t="s">
        <v>114</v>
      </c>
      <c r="C44" s="7"/>
      <c r="D44" s="42"/>
      <c r="E44" s="37"/>
      <c r="F44" s="37"/>
      <c r="G44" s="37"/>
      <c r="H44" s="37"/>
    </row>
    <row r="45" spans="1:8" ht="15">
      <c r="A45" s="52"/>
      <c r="B45" s="7" t="s">
        <v>35</v>
      </c>
      <c r="C45" s="7">
        <f>SUM(C7:C44)</f>
        <v>124239.55000000002</v>
      </c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42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spans="1:8" ht="14.25">
      <c r="A48" s="37"/>
      <c r="B48" s="37"/>
      <c r="C48" s="37"/>
      <c r="D48" s="37"/>
      <c r="E48" s="37"/>
      <c r="F48" s="37"/>
      <c r="G48" s="37"/>
      <c r="H48" s="37"/>
    </row>
    <row r="49" ht="12.75">
      <c r="C49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J17" sqref="J17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103" t="s">
        <v>121</v>
      </c>
      <c r="B3" s="103"/>
      <c r="C3" s="103"/>
      <c r="D3" s="103"/>
      <c r="E3" s="103"/>
      <c r="F3" s="103"/>
      <c r="G3" s="103"/>
    </row>
    <row r="4" spans="1:7" ht="15">
      <c r="A4" s="104"/>
      <c r="B4" s="104"/>
      <c r="C4" s="44" t="s">
        <v>43</v>
      </c>
      <c r="D4" s="1"/>
      <c r="E4" s="37"/>
      <c r="F4" s="37"/>
      <c r="G4" s="37"/>
    </row>
    <row r="5" spans="1:7" ht="15">
      <c r="A5" s="49" t="s">
        <v>0</v>
      </c>
      <c r="B5" s="49" t="s">
        <v>1</v>
      </c>
      <c r="C5" s="50" t="s">
        <v>44</v>
      </c>
      <c r="D5" s="50" t="s">
        <v>45</v>
      </c>
      <c r="E5" s="51" t="s">
        <v>48</v>
      </c>
      <c r="F5" s="37"/>
      <c r="G5" s="37"/>
    </row>
    <row r="6" spans="1:7" ht="15">
      <c r="A6" s="40" t="s">
        <v>79</v>
      </c>
      <c r="B6" s="7" t="s">
        <v>6</v>
      </c>
      <c r="C6" s="6">
        <v>29572.08</v>
      </c>
      <c r="D6" s="6">
        <v>52389.48</v>
      </c>
      <c r="E6" s="8">
        <f>C6+D6</f>
        <v>81961.56</v>
      </c>
      <c r="F6" s="37"/>
      <c r="G6" s="37"/>
    </row>
    <row r="7" spans="1:7" ht="15">
      <c r="A7" s="40" t="s">
        <v>52</v>
      </c>
      <c r="B7" s="7" t="s">
        <v>39</v>
      </c>
      <c r="C7" s="6">
        <f>2236.93+2740.64</f>
        <v>4977.57</v>
      </c>
      <c r="D7" s="6">
        <f>7508.31+7178.49</f>
        <v>14686.8</v>
      </c>
      <c r="E7" s="8">
        <f aca="true" t="shared" si="0" ref="E7:E43">C7+D7</f>
        <v>19664.37</v>
      </c>
      <c r="F7" s="37"/>
      <c r="G7" s="37"/>
    </row>
    <row r="8" spans="1:7" ht="15">
      <c r="A8" s="40" t="s">
        <v>53</v>
      </c>
      <c r="B8" s="7" t="s">
        <v>8</v>
      </c>
      <c r="C8" s="6">
        <f>52.65+678.65</f>
        <v>731.3</v>
      </c>
      <c r="D8" s="6">
        <f>896.7+1802.85</f>
        <v>2699.55</v>
      </c>
      <c r="E8" s="8">
        <f t="shared" si="0"/>
        <v>3430.8500000000004</v>
      </c>
      <c r="F8" s="37"/>
      <c r="G8" s="37"/>
    </row>
    <row r="9" spans="1:7" ht="15">
      <c r="A9" s="40" t="s">
        <v>54</v>
      </c>
      <c r="B9" s="7" t="s">
        <v>9</v>
      </c>
      <c r="C9" s="6"/>
      <c r="D9" s="6"/>
      <c r="E9" s="8">
        <f t="shared" si="0"/>
        <v>0</v>
      </c>
      <c r="F9" s="37"/>
      <c r="G9" s="37"/>
    </row>
    <row r="10" spans="1:7" ht="15">
      <c r="A10" s="40" t="s">
        <v>55</v>
      </c>
      <c r="B10" s="7" t="s">
        <v>10</v>
      </c>
      <c r="C10" s="6">
        <v>1589.04</v>
      </c>
      <c r="D10" s="6">
        <v>4055.8</v>
      </c>
      <c r="E10" s="8">
        <f t="shared" si="0"/>
        <v>5644.84</v>
      </c>
      <c r="F10" s="37"/>
      <c r="G10" s="37"/>
    </row>
    <row r="11" spans="1:7" ht="15">
      <c r="A11" s="40" t="s">
        <v>56</v>
      </c>
      <c r="B11" s="7" t="s">
        <v>11</v>
      </c>
      <c r="C11" s="6">
        <v>6135.53</v>
      </c>
      <c r="D11" s="6">
        <v>7739</v>
      </c>
      <c r="E11" s="8">
        <f t="shared" si="0"/>
        <v>13874.529999999999</v>
      </c>
      <c r="F11" s="37"/>
      <c r="G11" s="37"/>
    </row>
    <row r="12" spans="1:7" ht="15">
      <c r="A12" s="40" t="s">
        <v>57</v>
      </c>
      <c r="B12" s="7" t="s">
        <v>12</v>
      </c>
      <c r="C12" s="6"/>
      <c r="D12" s="6"/>
      <c r="E12" s="8">
        <f t="shared" si="0"/>
        <v>0</v>
      </c>
      <c r="F12" s="37"/>
      <c r="G12" s="37"/>
    </row>
    <row r="13" spans="1:7" ht="15">
      <c r="A13" s="40" t="s">
        <v>58</v>
      </c>
      <c r="B13" s="7" t="s">
        <v>13</v>
      </c>
      <c r="C13" s="6">
        <f>9251.01+6240.65+5826.63</f>
        <v>21318.29</v>
      </c>
      <c r="D13" s="6">
        <f>25380.22+10436.02+11248.72</f>
        <v>47064.96000000001</v>
      </c>
      <c r="E13" s="8">
        <f t="shared" si="0"/>
        <v>68383.25</v>
      </c>
      <c r="F13" s="37"/>
      <c r="G13" s="37"/>
    </row>
    <row r="14" spans="1:7" ht="15">
      <c r="A14" s="40" t="s">
        <v>59</v>
      </c>
      <c r="B14" s="7" t="s">
        <v>112</v>
      </c>
      <c r="C14" s="6">
        <f>1406.71+9283.65+486.54+2389.68+630.88+1628.36</f>
        <v>15825.820000000002</v>
      </c>
      <c r="D14" s="6">
        <f>1787.67+8506.19+1848.41+5010.66+3025.69+1278.01</f>
        <v>21456.629999999997</v>
      </c>
      <c r="E14" s="8">
        <f t="shared" si="0"/>
        <v>37282.45</v>
      </c>
      <c r="F14" s="37"/>
      <c r="G14" s="37"/>
    </row>
    <row r="15" spans="1:7" ht="15">
      <c r="A15" s="40" t="s">
        <v>60</v>
      </c>
      <c r="B15" s="7" t="s">
        <v>14</v>
      </c>
      <c r="C15" s="6">
        <v>37166.81</v>
      </c>
      <c r="D15" s="6">
        <v>77061.29</v>
      </c>
      <c r="E15" s="8">
        <f t="shared" si="0"/>
        <v>114228.09999999999</v>
      </c>
      <c r="F15" s="37"/>
      <c r="G15" s="37"/>
    </row>
    <row r="16" spans="1:7" ht="15">
      <c r="A16" s="40" t="s">
        <v>61</v>
      </c>
      <c r="B16" s="7" t="s">
        <v>15</v>
      </c>
      <c r="C16" s="6">
        <f>10900.22+2189.64</f>
        <v>13089.859999999999</v>
      </c>
      <c r="D16" s="6">
        <f>27520.34+9539.56</f>
        <v>37059.9</v>
      </c>
      <c r="E16" s="8">
        <f t="shared" si="0"/>
        <v>50149.76</v>
      </c>
      <c r="F16" s="37"/>
      <c r="G16" s="37"/>
    </row>
    <row r="17" spans="1:7" ht="15">
      <c r="A17" s="40" t="s">
        <v>62</v>
      </c>
      <c r="B17" s="7" t="s">
        <v>40</v>
      </c>
      <c r="C17" s="6">
        <f>3464.96+634.86+10668.09</f>
        <v>14767.91</v>
      </c>
      <c r="D17" s="6">
        <f>7468.33+4137.95+18963.38</f>
        <v>30569.66</v>
      </c>
      <c r="E17" s="8">
        <f t="shared" si="0"/>
        <v>45337.57</v>
      </c>
      <c r="F17" s="37"/>
      <c r="G17" s="37"/>
    </row>
    <row r="18" spans="1:7" ht="15">
      <c r="A18" s="40" t="s">
        <v>63</v>
      </c>
      <c r="B18" s="7" t="s">
        <v>17</v>
      </c>
      <c r="C18" s="6">
        <v>11989.15</v>
      </c>
      <c r="D18" s="6">
        <v>27665.31</v>
      </c>
      <c r="E18" s="8">
        <f t="shared" si="0"/>
        <v>39654.46</v>
      </c>
      <c r="F18" s="37"/>
      <c r="G18" s="37"/>
    </row>
    <row r="19" spans="1:7" ht="15">
      <c r="A19" s="40" t="s">
        <v>64</v>
      </c>
      <c r="B19" s="7" t="s">
        <v>18</v>
      </c>
      <c r="C19" s="6">
        <v>1584.97</v>
      </c>
      <c r="D19" s="6">
        <v>10924.24</v>
      </c>
      <c r="E19" s="8">
        <f t="shared" si="0"/>
        <v>12509.21</v>
      </c>
      <c r="F19" s="37"/>
      <c r="G19" s="37"/>
    </row>
    <row r="20" spans="1:7" ht="15">
      <c r="A20" s="40" t="s">
        <v>65</v>
      </c>
      <c r="B20" s="7" t="s">
        <v>19</v>
      </c>
      <c r="C20" s="6">
        <v>2113.99</v>
      </c>
      <c r="D20" s="6">
        <v>13780.81</v>
      </c>
      <c r="E20" s="8">
        <f t="shared" si="0"/>
        <v>15894.8</v>
      </c>
      <c r="F20" s="37"/>
      <c r="G20" s="37"/>
    </row>
    <row r="21" spans="1:7" ht="15">
      <c r="A21" s="40" t="s">
        <v>66</v>
      </c>
      <c r="B21" s="7" t="s">
        <v>20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67</v>
      </c>
      <c r="B22" s="7" t="s">
        <v>21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68</v>
      </c>
      <c r="B23" s="7" t="s">
        <v>22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69</v>
      </c>
      <c r="B24" s="7" t="s">
        <v>23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70</v>
      </c>
      <c r="B25" s="7" t="s">
        <v>24</v>
      </c>
      <c r="C25" s="6">
        <v>6715.49</v>
      </c>
      <c r="D25" s="6">
        <v>15379.67</v>
      </c>
      <c r="E25" s="8">
        <f t="shared" si="0"/>
        <v>22095.16</v>
      </c>
      <c r="F25" s="37"/>
      <c r="G25" s="37"/>
    </row>
    <row r="26" spans="1:7" ht="15">
      <c r="A26" s="40" t="s">
        <v>71</v>
      </c>
      <c r="B26" s="7" t="s">
        <v>25</v>
      </c>
      <c r="C26" s="6">
        <f>5228.35+200.04+4176.35</f>
        <v>9604.740000000002</v>
      </c>
      <c r="D26" s="6">
        <f>14139.47+493.83+10582.12</f>
        <v>25215.42</v>
      </c>
      <c r="E26" s="8">
        <f t="shared" si="0"/>
        <v>34820.16</v>
      </c>
      <c r="F26" s="37"/>
      <c r="G26" s="37"/>
    </row>
    <row r="27" spans="1:7" ht="15">
      <c r="A27" s="40" t="s">
        <v>72</v>
      </c>
      <c r="B27" s="7" t="s">
        <v>26</v>
      </c>
      <c r="C27" s="6">
        <v>723.42</v>
      </c>
      <c r="D27" s="6">
        <v>415.87</v>
      </c>
      <c r="E27" s="8">
        <f t="shared" si="0"/>
        <v>1139.29</v>
      </c>
      <c r="F27" s="37"/>
      <c r="G27" s="37"/>
    </row>
    <row r="28" spans="1:7" ht="15">
      <c r="A28" s="40" t="s">
        <v>73</v>
      </c>
      <c r="B28" s="7" t="s">
        <v>27</v>
      </c>
      <c r="C28" s="6">
        <v>1385.09</v>
      </c>
      <c r="D28" s="6">
        <v>1137.22</v>
      </c>
      <c r="E28" s="8">
        <f t="shared" si="0"/>
        <v>2522.31</v>
      </c>
      <c r="F28" s="37"/>
      <c r="G28" s="37"/>
    </row>
    <row r="29" spans="1:7" ht="15">
      <c r="A29" s="40" t="s">
        <v>74</v>
      </c>
      <c r="B29" s="7" t="s">
        <v>28</v>
      </c>
      <c r="C29" s="6">
        <f>7632.82+5639.9+891.42</f>
        <v>14164.14</v>
      </c>
      <c r="D29" s="6">
        <f>14000.53+10303.29+1301.26</f>
        <v>25605.079999999998</v>
      </c>
      <c r="E29" s="8">
        <f t="shared" si="0"/>
        <v>39769.22</v>
      </c>
      <c r="F29" s="37"/>
      <c r="G29" s="37"/>
    </row>
    <row r="30" spans="1:7" ht="15">
      <c r="A30" s="40" t="s">
        <v>75</v>
      </c>
      <c r="B30" s="7" t="s">
        <v>29</v>
      </c>
      <c r="C30" s="6">
        <v>6059.04</v>
      </c>
      <c r="D30" s="6">
        <v>18864.07</v>
      </c>
      <c r="E30" s="8">
        <f t="shared" si="0"/>
        <v>24923.11</v>
      </c>
      <c r="F30" s="37"/>
      <c r="G30" s="37"/>
    </row>
    <row r="31" spans="1:7" ht="15">
      <c r="A31" s="40" t="s">
        <v>76</v>
      </c>
      <c r="B31" s="7" t="s">
        <v>30</v>
      </c>
      <c r="C31" s="6">
        <v>921.51</v>
      </c>
      <c r="D31" s="6">
        <v>1364.48</v>
      </c>
      <c r="E31" s="8">
        <f t="shared" si="0"/>
        <v>2285.99</v>
      </c>
      <c r="F31" s="37"/>
      <c r="G31" s="37"/>
    </row>
    <row r="32" spans="1:7" ht="15">
      <c r="A32" s="40" t="s">
        <v>77</v>
      </c>
      <c r="B32" s="7" t="s">
        <v>31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78</v>
      </c>
      <c r="B33" s="7" t="s">
        <v>32</v>
      </c>
      <c r="C33" s="6">
        <f>1961.6+2121.36+2170.62</f>
        <v>6253.58</v>
      </c>
      <c r="D33" s="6">
        <f>11017.13+4805.36+3590.52</f>
        <v>19413.01</v>
      </c>
      <c r="E33" s="8">
        <f t="shared" si="0"/>
        <v>25666.589999999997</v>
      </c>
      <c r="F33" s="37"/>
      <c r="G33" s="37"/>
    </row>
    <row r="34" spans="1:7" ht="15">
      <c r="A34" s="40" t="s">
        <v>80</v>
      </c>
      <c r="B34" s="7" t="s">
        <v>33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81</v>
      </c>
      <c r="B35" s="7" t="s">
        <v>34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82</v>
      </c>
      <c r="B36" s="7" t="s">
        <v>87</v>
      </c>
      <c r="C36" s="6">
        <v>399.99</v>
      </c>
      <c r="D36" s="6">
        <v>1534.7</v>
      </c>
      <c r="E36" s="8">
        <f t="shared" si="0"/>
        <v>1934.69</v>
      </c>
      <c r="F36" s="37"/>
      <c r="G36" s="37"/>
    </row>
    <row r="37" spans="1:7" ht="15">
      <c r="A37" s="40" t="s">
        <v>83</v>
      </c>
      <c r="B37" s="7" t="s">
        <v>89</v>
      </c>
      <c r="C37" s="6">
        <f>2893.46+1015.89+218.16</f>
        <v>4127.51</v>
      </c>
      <c r="D37" s="6">
        <f>8470.17+2554.29+1531.63</f>
        <v>12556.09</v>
      </c>
      <c r="E37" s="8">
        <f t="shared" si="0"/>
        <v>16683.6</v>
      </c>
      <c r="F37" s="37"/>
      <c r="G37" s="37"/>
    </row>
    <row r="38" spans="1:7" ht="15">
      <c r="A38" s="40" t="s">
        <v>84</v>
      </c>
      <c r="B38" s="7" t="s">
        <v>90</v>
      </c>
      <c r="C38" s="6">
        <v>9846.26</v>
      </c>
      <c r="D38" s="6">
        <v>24215.23</v>
      </c>
      <c r="E38" s="8">
        <f t="shared" si="0"/>
        <v>34061.49</v>
      </c>
      <c r="F38" s="37"/>
      <c r="G38" s="37"/>
    </row>
    <row r="39" spans="1:7" ht="15">
      <c r="A39" s="40" t="s">
        <v>85</v>
      </c>
      <c r="B39" s="7" t="s">
        <v>93</v>
      </c>
      <c r="C39" s="6"/>
      <c r="D39" s="6"/>
      <c r="E39" s="8">
        <f t="shared" si="0"/>
        <v>0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91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115</v>
      </c>
      <c r="B42" s="7" t="s">
        <v>113</v>
      </c>
      <c r="C42" s="6"/>
      <c r="D42" s="6"/>
      <c r="E42" s="8">
        <f t="shared" si="0"/>
        <v>0</v>
      </c>
      <c r="F42" s="37"/>
      <c r="G42" s="37"/>
    </row>
    <row r="43" spans="1:7" ht="15">
      <c r="A43" s="40" t="s">
        <v>116</v>
      </c>
      <c r="B43" s="7" t="s">
        <v>114</v>
      </c>
      <c r="C43" s="6">
        <v>644.16</v>
      </c>
      <c r="D43" s="6">
        <v>415.87</v>
      </c>
      <c r="E43" s="8">
        <f t="shared" si="0"/>
        <v>1060.03</v>
      </c>
      <c r="F43" s="37"/>
      <c r="G43" s="37"/>
    </row>
    <row r="44" spans="1:7" ht="15">
      <c r="A44" s="52"/>
      <c r="B44" s="7" t="s">
        <v>35</v>
      </c>
      <c r="C44" s="7">
        <f>SUM(C6:C43)</f>
        <v>221707.24999999997</v>
      </c>
      <c r="D44" s="7">
        <f>SUM(D6:D43)</f>
        <v>493270.13999999996</v>
      </c>
      <c r="E44" s="8">
        <f>SUM(E6:E43)</f>
        <v>714977.39</v>
      </c>
      <c r="F44" s="37"/>
      <c r="G44" s="37"/>
    </row>
    <row r="45" spans="1:7" ht="14.25">
      <c r="A45" s="37"/>
      <c r="B45" s="37"/>
      <c r="C45" s="37"/>
      <c r="D45" s="37"/>
      <c r="E45" s="1"/>
      <c r="F45" s="37"/>
      <c r="G45" s="37"/>
    </row>
    <row r="46" spans="1:7" ht="14.25">
      <c r="A46" s="37"/>
      <c r="B46" s="37"/>
      <c r="C46" s="37"/>
      <c r="D46" s="37"/>
      <c r="E46" s="37"/>
      <c r="F46" s="37"/>
      <c r="G46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">
      <selection activeCell="G18" sqref="G18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02" t="s">
        <v>128</v>
      </c>
      <c r="B3" s="102"/>
      <c r="C3" s="102"/>
      <c r="D3" s="102"/>
      <c r="E3" s="102"/>
      <c r="F3" s="102"/>
    </row>
    <row r="4" spans="1:6" ht="15">
      <c r="A4" s="105"/>
      <c r="B4" s="105"/>
      <c r="C4" s="105"/>
      <c r="D4" s="105"/>
      <c r="E4" s="105"/>
      <c r="F4" s="37"/>
    </row>
    <row r="5" spans="1:6" ht="14.25">
      <c r="A5" s="104"/>
      <c r="B5" s="104"/>
      <c r="C5" s="37"/>
      <c r="D5" s="37"/>
      <c r="E5" s="37"/>
      <c r="F5" s="37"/>
    </row>
    <row r="6" spans="1:6" ht="15">
      <c r="A6" s="49" t="s">
        <v>0</v>
      </c>
      <c r="B6" s="49" t="s">
        <v>1</v>
      </c>
      <c r="C6" s="50" t="s">
        <v>46</v>
      </c>
      <c r="D6" s="50" t="s">
        <v>47</v>
      </c>
      <c r="E6" s="37"/>
      <c r="F6" s="37"/>
    </row>
    <row r="7" spans="1:6" ht="15">
      <c r="A7" s="40" t="s">
        <v>79</v>
      </c>
      <c r="B7" s="7" t="s">
        <v>6</v>
      </c>
      <c r="C7" s="53">
        <v>15720</v>
      </c>
      <c r="D7" s="7">
        <v>1440</v>
      </c>
      <c r="E7" s="37"/>
      <c r="F7" s="37"/>
    </row>
    <row r="8" spans="1:6" ht="15">
      <c r="A8" s="40" t="s">
        <v>52</v>
      </c>
      <c r="B8" s="7" t="s">
        <v>39</v>
      </c>
      <c r="C8" s="53">
        <v>2520</v>
      </c>
      <c r="D8" s="7"/>
      <c r="E8" s="37"/>
      <c r="F8" s="37"/>
    </row>
    <row r="9" spans="1:6" ht="15">
      <c r="A9" s="40" t="s">
        <v>53</v>
      </c>
      <c r="B9" s="7" t="s">
        <v>8</v>
      </c>
      <c r="C9" s="53">
        <v>480</v>
      </c>
      <c r="D9" s="7"/>
      <c r="E9" s="37"/>
      <c r="F9" s="37"/>
    </row>
    <row r="10" spans="1:6" ht="15">
      <c r="A10" s="40" t="s">
        <v>54</v>
      </c>
      <c r="B10" s="7" t="s">
        <v>9</v>
      </c>
      <c r="C10" s="53"/>
      <c r="D10" s="7"/>
      <c r="E10" s="37"/>
      <c r="F10" s="37"/>
    </row>
    <row r="11" spans="1:6" ht="15">
      <c r="A11" s="40" t="s">
        <v>55</v>
      </c>
      <c r="B11" s="7" t="s">
        <v>10</v>
      </c>
      <c r="C11" s="53">
        <v>720</v>
      </c>
      <c r="D11" s="7"/>
      <c r="E11" s="37"/>
      <c r="F11" s="37"/>
    </row>
    <row r="12" spans="1:6" ht="15">
      <c r="A12" s="40" t="s">
        <v>56</v>
      </c>
      <c r="B12" s="7" t="s">
        <v>11</v>
      </c>
      <c r="C12" s="53">
        <v>2520</v>
      </c>
      <c r="D12" s="7"/>
      <c r="E12" s="37"/>
      <c r="F12" s="37"/>
    </row>
    <row r="13" spans="1:6" ht="15">
      <c r="A13" s="40" t="s">
        <v>57</v>
      </c>
      <c r="B13" s="7" t="s">
        <v>12</v>
      </c>
      <c r="C13" s="53"/>
      <c r="D13" s="7"/>
      <c r="E13" s="37"/>
      <c r="F13" s="37"/>
    </row>
    <row r="14" spans="1:6" ht="15">
      <c r="A14" s="40" t="s">
        <v>58</v>
      </c>
      <c r="B14" s="7" t="s">
        <v>13</v>
      </c>
      <c r="C14" s="53">
        <v>10920</v>
      </c>
      <c r="D14" s="7"/>
      <c r="E14" s="37"/>
      <c r="F14" s="37"/>
    </row>
    <row r="15" spans="1:6" ht="15">
      <c r="A15" s="40" t="s">
        <v>59</v>
      </c>
      <c r="B15" s="7" t="s">
        <v>112</v>
      </c>
      <c r="C15" s="53">
        <v>3960</v>
      </c>
      <c r="D15" s="7"/>
      <c r="E15" s="37"/>
      <c r="F15" s="37"/>
    </row>
    <row r="16" spans="1:6" ht="15">
      <c r="A16" s="40" t="s">
        <v>60</v>
      </c>
      <c r="B16" s="7" t="s">
        <v>14</v>
      </c>
      <c r="C16" s="53">
        <v>16620</v>
      </c>
      <c r="D16" s="7">
        <v>3480</v>
      </c>
      <c r="E16" s="37"/>
      <c r="F16" s="37"/>
    </row>
    <row r="17" spans="1:6" ht="15">
      <c r="A17" s="40" t="s">
        <v>61</v>
      </c>
      <c r="B17" s="7" t="s">
        <v>15</v>
      </c>
      <c r="C17" s="53">
        <v>6600</v>
      </c>
      <c r="D17" s="7"/>
      <c r="E17" s="37"/>
      <c r="F17" s="37"/>
    </row>
    <row r="18" spans="1:6" ht="15">
      <c r="A18" s="40" t="s">
        <v>62</v>
      </c>
      <c r="B18" s="7" t="s">
        <v>40</v>
      </c>
      <c r="C18" s="53">
        <v>5640</v>
      </c>
      <c r="D18" s="7"/>
      <c r="E18" s="37"/>
      <c r="F18" s="37"/>
    </row>
    <row r="19" spans="1:6" ht="15">
      <c r="A19" s="40" t="s">
        <v>63</v>
      </c>
      <c r="B19" s="7" t="s">
        <v>17</v>
      </c>
      <c r="C19" s="53">
        <v>4680</v>
      </c>
      <c r="D19" s="7">
        <v>480</v>
      </c>
      <c r="E19" s="37"/>
      <c r="F19" s="37"/>
    </row>
    <row r="20" spans="1:6" ht="15">
      <c r="A20" s="40" t="s">
        <v>64</v>
      </c>
      <c r="B20" s="7" t="s">
        <v>18</v>
      </c>
      <c r="C20" s="53">
        <v>1560</v>
      </c>
      <c r="D20" s="7"/>
      <c r="E20" s="37"/>
      <c r="F20" s="37"/>
    </row>
    <row r="21" spans="1:6" ht="15">
      <c r="A21" s="40" t="s">
        <v>65</v>
      </c>
      <c r="B21" s="7" t="s">
        <v>19</v>
      </c>
      <c r="C21" s="53">
        <v>4440</v>
      </c>
      <c r="D21" s="7"/>
      <c r="E21" s="37"/>
      <c r="F21" s="37"/>
    </row>
    <row r="22" spans="1:6" ht="15">
      <c r="A22" s="40" t="s">
        <v>66</v>
      </c>
      <c r="B22" s="7" t="s">
        <v>20</v>
      </c>
      <c r="C22" s="53"/>
      <c r="D22" s="7"/>
      <c r="E22" s="37"/>
      <c r="F22" s="37"/>
    </row>
    <row r="23" spans="1:6" ht="15">
      <c r="A23" s="40" t="s">
        <v>67</v>
      </c>
      <c r="B23" s="7" t="s">
        <v>21</v>
      </c>
      <c r="C23" s="53"/>
      <c r="D23" s="7"/>
      <c r="E23" s="37"/>
      <c r="F23" s="37"/>
    </row>
    <row r="24" spans="1:6" ht="15">
      <c r="A24" s="40" t="s">
        <v>68</v>
      </c>
      <c r="B24" s="7" t="s">
        <v>22</v>
      </c>
      <c r="C24" s="53"/>
      <c r="D24" s="7"/>
      <c r="E24" s="37"/>
      <c r="F24" s="37"/>
    </row>
    <row r="25" spans="1:6" ht="15">
      <c r="A25" s="40" t="s">
        <v>69</v>
      </c>
      <c r="B25" s="7" t="s">
        <v>23</v>
      </c>
      <c r="C25" s="53"/>
      <c r="D25" s="7"/>
      <c r="E25" s="37"/>
      <c r="F25" s="37"/>
    </row>
    <row r="26" spans="1:6" ht="15">
      <c r="A26" s="40" t="s">
        <v>70</v>
      </c>
      <c r="B26" s="7" t="s">
        <v>24</v>
      </c>
      <c r="C26" s="53">
        <v>4080</v>
      </c>
      <c r="D26" s="7"/>
      <c r="E26" s="37"/>
      <c r="F26" s="37"/>
    </row>
    <row r="27" spans="1:6" ht="15">
      <c r="A27" s="40" t="s">
        <v>71</v>
      </c>
      <c r="B27" s="7" t="s">
        <v>25</v>
      </c>
      <c r="C27" s="53">
        <v>5280</v>
      </c>
      <c r="D27" s="7">
        <v>480</v>
      </c>
      <c r="E27" s="37"/>
      <c r="F27" s="37"/>
    </row>
    <row r="28" spans="1:6" ht="15">
      <c r="A28" s="40" t="s">
        <v>72</v>
      </c>
      <c r="B28" s="7" t="s">
        <v>26</v>
      </c>
      <c r="C28" s="53">
        <v>240</v>
      </c>
      <c r="D28" s="7"/>
      <c r="E28" s="37"/>
      <c r="F28" s="37"/>
    </row>
    <row r="29" spans="1:6" ht="15">
      <c r="A29" s="40" t="s">
        <v>73</v>
      </c>
      <c r="B29" s="7" t="s">
        <v>27</v>
      </c>
      <c r="C29" s="53">
        <v>120</v>
      </c>
      <c r="D29" s="7"/>
      <c r="E29" s="37"/>
      <c r="F29" s="37"/>
    </row>
    <row r="30" spans="1:6" ht="15">
      <c r="A30" s="40" t="s">
        <v>74</v>
      </c>
      <c r="B30" s="7" t="s">
        <v>28</v>
      </c>
      <c r="C30" s="53">
        <v>6600</v>
      </c>
      <c r="D30" s="7">
        <v>480</v>
      </c>
      <c r="E30" s="37"/>
      <c r="F30" s="37"/>
    </row>
    <row r="31" spans="1:6" ht="15">
      <c r="A31" s="40" t="s">
        <v>75</v>
      </c>
      <c r="B31" s="7" t="s">
        <v>29</v>
      </c>
      <c r="C31" s="53">
        <v>4320</v>
      </c>
      <c r="D31" s="7">
        <v>600</v>
      </c>
      <c r="E31" s="37"/>
      <c r="F31" s="37"/>
    </row>
    <row r="32" spans="1:6" ht="15">
      <c r="A32" s="40" t="s">
        <v>76</v>
      </c>
      <c r="B32" s="7" t="s">
        <v>30</v>
      </c>
      <c r="C32" s="53">
        <v>480</v>
      </c>
      <c r="D32" s="7"/>
      <c r="E32" s="37"/>
      <c r="F32" s="37"/>
    </row>
    <row r="33" spans="1:6" ht="15">
      <c r="A33" s="40" t="s">
        <v>77</v>
      </c>
      <c r="B33" s="7" t="s">
        <v>31</v>
      </c>
      <c r="C33" s="53"/>
      <c r="D33" s="7"/>
      <c r="E33" s="37"/>
      <c r="F33" s="37"/>
    </row>
    <row r="34" spans="1:6" ht="15">
      <c r="A34" s="40" t="s">
        <v>78</v>
      </c>
      <c r="B34" s="7" t="s">
        <v>32</v>
      </c>
      <c r="C34" s="53">
        <v>5256</v>
      </c>
      <c r="D34" s="7"/>
      <c r="E34" s="37"/>
      <c r="F34" s="37"/>
    </row>
    <row r="35" spans="1:6" ht="15">
      <c r="A35" s="40" t="s">
        <v>80</v>
      </c>
      <c r="B35" s="7" t="s">
        <v>33</v>
      </c>
      <c r="C35" s="53"/>
      <c r="D35" s="7"/>
      <c r="E35" s="37"/>
      <c r="F35" s="37"/>
    </row>
    <row r="36" spans="1:6" ht="15">
      <c r="A36" s="40" t="s">
        <v>81</v>
      </c>
      <c r="B36" s="7" t="s">
        <v>34</v>
      </c>
      <c r="C36" s="53"/>
      <c r="D36" s="7"/>
      <c r="E36" s="37"/>
      <c r="F36" s="37"/>
    </row>
    <row r="37" spans="1:6" ht="15">
      <c r="A37" s="40" t="s">
        <v>82</v>
      </c>
      <c r="B37" s="7" t="s">
        <v>87</v>
      </c>
      <c r="C37" s="53">
        <v>240</v>
      </c>
      <c r="D37" s="7"/>
      <c r="E37" s="37"/>
      <c r="F37" s="37"/>
    </row>
    <row r="38" spans="1:6" ht="15">
      <c r="A38" s="40" t="s">
        <v>83</v>
      </c>
      <c r="B38" s="7" t="s">
        <v>89</v>
      </c>
      <c r="C38" s="53">
        <v>3360</v>
      </c>
      <c r="D38" s="7">
        <v>480</v>
      </c>
      <c r="E38" s="37"/>
      <c r="F38" s="37"/>
    </row>
    <row r="39" spans="1:6" ht="15">
      <c r="A39" s="40" t="s">
        <v>84</v>
      </c>
      <c r="B39" s="7" t="s">
        <v>90</v>
      </c>
      <c r="C39" s="53">
        <v>4176</v>
      </c>
      <c r="D39" s="7"/>
      <c r="E39" s="37"/>
      <c r="F39" s="37"/>
    </row>
    <row r="40" spans="1:6" ht="15">
      <c r="A40" s="40" t="s">
        <v>85</v>
      </c>
      <c r="B40" s="7" t="s">
        <v>93</v>
      </c>
      <c r="C40" s="53"/>
      <c r="D40" s="6"/>
      <c r="E40" s="37"/>
      <c r="F40" s="37"/>
    </row>
    <row r="41" spans="1:6" ht="15">
      <c r="A41" s="40" t="s">
        <v>86</v>
      </c>
      <c r="B41" s="7" t="s">
        <v>94</v>
      </c>
      <c r="C41" s="53"/>
      <c r="D41" s="6"/>
      <c r="E41" s="37"/>
      <c r="F41" s="37"/>
    </row>
    <row r="42" spans="1:6" ht="15">
      <c r="A42" s="40" t="s">
        <v>91</v>
      </c>
      <c r="B42" s="7" t="s">
        <v>98</v>
      </c>
      <c r="C42" s="53"/>
      <c r="D42" s="6"/>
      <c r="E42" s="37"/>
      <c r="F42" s="37"/>
    </row>
    <row r="43" spans="1:6" ht="15">
      <c r="A43" s="40" t="s">
        <v>115</v>
      </c>
      <c r="B43" s="7" t="s">
        <v>113</v>
      </c>
      <c r="C43" s="53"/>
      <c r="D43" s="6"/>
      <c r="E43" s="37"/>
      <c r="F43" s="37"/>
    </row>
    <row r="44" spans="1:6" ht="15">
      <c r="A44" s="40" t="s">
        <v>116</v>
      </c>
      <c r="B44" s="7" t="s">
        <v>114</v>
      </c>
      <c r="C44" s="53">
        <v>120</v>
      </c>
      <c r="D44" s="6"/>
      <c r="E44" s="37"/>
      <c r="F44" s="37"/>
    </row>
    <row r="45" spans="1:6" ht="15">
      <c r="A45" s="52"/>
      <c r="B45" s="7" t="s">
        <v>35</v>
      </c>
      <c r="C45" s="53">
        <f>SUM(C7:C44)</f>
        <v>110652</v>
      </c>
      <c r="D45" s="53">
        <f>SUM(D7:D44)</f>
        <v>7440</v>
      </c>
      <c r="E45" s="1"/>
      <c r="F45" s="37"/>
    </row>
    <row r="46" spans="1:6" ht="14.25">
      <c r="A46" s="37"/>
      <c r="B46" s="37"/>
      <c r="C46" s="1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9"/>
  <sheetViews>
    <sheetView workbookViewId="0" topLeftCell="A16">
      <selection activeCell="C34" sqref="C34"/>
    </sheetView>
  </sheetViews>
  <sheetFormatPr defaultColWidth="9.140625" defaultRowHeight="12.75"/>
  <cols>
    <col min="2" max="2" width="36.8515625" style="0" bestFit="1" customWidth="1"/>
    <col min="3" max="3" width="16.8515625" style="0" customWidth="1"/>
  </cols>
  <sheetData>
    <row r="2" spans="1:5" ht="12.75">
      <c r="A2" s="80"/>
      <c r="B2" s="80"/>
      <c r="C2" s="80"/>
      <c r="D2" s="80"/>
      <c r="E2" s="80"/>
    </row>
    <row r="3" spans="1:5" ht="15">
      <c r="A3" s="81" t="s">
        <v>122</v>
      </c>
      <c r="B3" s="81"/>
      <c r="C3" s="81"/>
      <c r="D3" s="81"/>
      <c r="E3" s="81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110</v>
      </c>
      <c r="D5" s="45"/>
      <c r="E5" s="12"/>
    </row>
    <row r="6" spans="1:5" ht="15">
      <c r="A6" s="40" t="s">
        <v>79</v>
      </c>
      <c r="B6" s="7" t="s">
        <v>6</v>
      </c>
      <c r="C6" s="8">
        <v>21672.18</v>
      </c>
      <c r="D6" s="46"/>
      <c r="E6" s="12"/>
    </row>
    <row r="7" spans="1:5" ht="15">
      <c r="A7" s="40" t="s">
        <v>52</v>
      </c>
      <c r="B7" s="7" t="s">
        <v>39</v>
      </c>
      <c r="D7" s="46"/>
      <c r="E7" s="12"/>
    </row>
    <row r="8" spans="1:5" ht="15">
      <c r="A8" s="40" t="s">
        <v>53</v>
      </c>
      <c r="B8" s="7" t="s">
        <v>8</v>
      </c>
      <c r="C8" s="8"/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/>
      <c r="D10" s="46"/>
      <c r="E10" s="12"/>
    </row>
    <row r="11" spans="1:5" ht="15">
      <c r="A11" s="40" t="s">
        <v>56</v>
      </c>
      <c r="B11" s="7" t="s">
        <v>11</v>
      </c>
      <c r="C11" s="8"/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/>
      <c r="D13" s="46"/>
      <c r="E13" s="12"/>
    </row>
    <row r="14" spans="1:5" ht="15">
      <c r="A14" s="40" t="s">
        <v>59</v>
      </c>
      <c r="B14" s="7" t="s">
        <v>112</v>
      </c>
      <c r="C14" s="8">
        <v>130923.92</v>
      </c>
      <c r="D14" s="46"/>
      <c r="E14" s="12"/>
    </row>
    <row r="15" spans="1:5" ht="15">
      <c r="A15" s="40" t="s">
        <v>60</v>
      </c>
      <c r="B15" s="7" t="s">
        <v>14</v>
      </c>
      <c r="C15" s="8">
        <v>92978.45</v>
      </c>
      <c r="D15" s="46"/>
      <c r="E15" s="12"/>
    </row>
    <row r="16" spans="1:5" ht="15">
      <c r="A16" s="40" t="s">
        <v>61</v>
      </c>
      <c r="B16" s="7" t="s">
        <v>15</v>
      </c>
      <c r="C16" s="8">
        <v>26852.66</v>
      </c>
      <c r="D16" s="46"/>
      <c r="E16" s="12"/>
    </row>
    <row r="17" spans="1:5" ht="15">
      <c r="A17" s="40" t="s">
        <v>62</v>
      </c>
      <c r="B17" s="7" t="s">
        <v>40</v>
      </c>
      <c r="C17" s="8"/>
      <c r="D17" s="46"/>
      <c r="E17" s="12"/>
    </row>
    <row r="18" spans="1:5" ht="15">
      <c r="A18" s="40" t="s">
        <v>63</v>
      </c>
      <c r="B18" s="7" t="s">
        <v>17</v>
      </c>
      <c r="C18" s="8"/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41705.92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/>
      <c r="D29" s="46"/>
      <c r="E29" s="12"/>
    </row>
    <row r="30" spans="1:5" ht="15">
      <c r="A30" s="40" t="s">
        <v>75</v>
      </c>
      <c r="B30" s="7" t="s">
        <v>29</v>
      </c>
      <c r="C30" s="8">
        <v>41705.89</v>
      </c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13426.33</v>
      </c>
      <c r="D33" s="46"/>
      <c r="E33" s="12"/>
    </row>
    <row r="34" spans="1:5" ht="15">
      <c r="A34" s="40" t="s">
        <v>80</v>
      </c>
      <c r="B34" s="7" t="s">
        <v>33</v>
      </c>
      <c r="C34" s="8"/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>
        <v>13426.33</v>
      </c>
      <c r="D37" s="46"/>
      <c r="E37" s="12"/>
    </row>
    <row r="38" spans="1:5" ht="15">
      <c r="A38" s="40" t="s">
        <v>84</v>
      </c>
      <c r="B38" s="7" t="s">
        <v>90</v>
      </c>
      <c r="C38" s="8"/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56" t="s">
        <v>94</v>
      </c>
      <c r="C40" s="8"/>
      <c r="D40" s="46"/>
      <c r="E40" s="12"/>
    </row>
    <row r="41" spans="1:5" ht="15">
      <c r="A41" s="40" t="s">
        <v>91</v>
      </c>
      <c r="B41" s="56" t="s">
        <v>98</v>
      </c>
      <c r="C41" s="8"/>
      <c r="D41" s="46"/>
      <c r="E41" s="12"/>
    </row>
    <row r="42" spans="1:5" ht="15">
      <c r="A42" s="40" t="s">
        <v>115</v>
      </c>
      <c r="B42" s="7" t="s">
        <v>113</v>
      </c>
      <c r="C42" s="8"/>
      <c r="D42" s="46"/>
      <c r="E42" s="12"/>
    </row>
    <row r="43" spans="1:5" ht="15.75" thickBot="1">
      <c r="A43" s="40" t="s">
        <v>116</v>
      </c>
      <c r="B43" s="7" t="s">
        <v>114</v>
      </c>
      <c r="C43" s="8"/>
      <c r="D43" s="46"/>
      <c r="E43" s="12"/>
    </row>
    <row r="44" spans="1:5" ht="15.75" thickBot="1">
      <c r="A44" s="54"/>
      <c r="B44" s="55" t="s">
        <v>35</v>
      </c>
      <c r="C44" s="93">
        <f>SUM(C6:C41)</f>
        <v>382691.68</v>
      </c>
      <c r="D44" s="12"/>
      <c r="E44" s="12"/>
    </row>
    <row r="45" spans="1:5" ht="14.25">
      <c r="A45" s="37"/>
      <c r="B45" s="37"/>
      <c r="C45" s="39"/>
      <c r="D45" s="1"/>
      <c r="E45" s="1"/>
    </row>
    <row r="46" spans="1:5" ht="14.25">
      <c r="A46" s="37"/>
      <c r="B46" s="37"/>
      <c r="C46" s="83"/>
      <c r="D46" s="1"/>
      <c r="E46" s="1"/>
    </row>
    <row r="47" spans="1:5" ht="14.25">
      <c r="A47" s="37"/>
      <c r="B47" s="37"/>
      <c r="C47" s="37"/>
      <c r="D47" s="37"/>
      <c r="E47" s="37"/>
    </row>
    <row r="48" spans="1:5" ht="14.25">
      <c r="A48" s="37"/>
      <c r="B48" s="37"/>
      <c r="C48" s="37"/>
      <c r="D48" s="37"/>
      <c r="E48" s="37"/>
    </row>
    <row r="49" spans="1:5" ht="14.25">
      <c r="A49" s="37"/>
      <c r="B49" s="37"/>
      <c r="C49" s="37"/>
      <c r="D49" s="37"/>
      <c r="E49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9"/>
  <sheetViews>
    <sheetView workbookViewId="0" topLeftCell="A13">
      <selection activeCell="C30" sqref="C3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106" t="s">
        <v>123</v>
      </c>
      <c r="B3" s="106"/>
      <c r="C3" s="106"/>
      <c r="D3" s="106"/>
      <c r="E3" s="106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49</v>
      </c>
      <c r="D5" s="45"/>
      <c r="E5" s="12"/>
    </row>
    <row r="6" spans="1:5" ht="15">
      <c r="A6" s="40" t="s">
        <v>79</v>
      </c>
      <c r="B6" s="7" t="s">
        <v>6</v>
      </c>
      <c r="C6" s="8">
        <v>138612.84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>
        <v>134.88</v>
      </c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>
        <v>997.82</v>
      </c>
      <c r="D10" s="46"/>
      <c r="E10" s="12"/>
    </row>
    <row r="11" spans="1:5" ht="15">
      <c r="A11" s="40" t="s">
        <v>56</v>
      </c>
      <c r="B11" s="7" t="s">
        <v>11</v>
      </c>
      <c r="C11" s="8">
        <v>17057.8</v>
      </c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>
        <v>1933.31</v>
      </c>
      <c r="D13" s="46"/>
      <c r="E13" s="12"/>
    </row>
    <row r="14" spans="1:5" ht="15">
      <c r="A14" s="40" t="s">
        <v>59</v>
      </c>
      <c r="B14" s="7" t="s">
        <v>112</v>
      </c>
      <c r="C14" s="8">
        <v>2399.98</v>
      </c>
      <c r="D14" s="46"/>
      <c r="E14" s="12"/>
    </row>
    <row r="15" spans="1:5" ht="15">
      <c r="A15" s="40" t="s">
        <v>60</v>
      </c>
      <c r="B15" s="7" t="s">
        <v>14</v>
      </c>
      <c r="C15" s="8">
        <v>89910.76</v>
      </c>
      <c r="D15" s="46"/>
      <c r="E15" s="12"/>
    </row>
    <row r="16" spans="1:5" ht="15">
      <c r="A16" s="40" t="s">
        <v>61</v>
      </c>
      <c r="B16" s="7" t="s">
        <v>15</v>
      </c>
      <c r="C16" s="8">
        <v>823.48</v>
      </c>
      <c r="D16" s="46"/>
      <c r="E16" s="12"/>
    </row>
    <row r="17" spans="1:5" ht="15">
      <c r="A17" s="40" t="s">
        <v>62</v>
      </c>
      <c r="B17" s="7" t="s">
        <v>40</v>
      </c>
      <c r="C17" s="8">
        <v>1930.25</v>
      </c>
      <c r="D17" s="46"/>
      <c r="E17" s="12"/>
    </row>
    <row r="18" spans="1:5" ht="15">
      <c r="A18" s="40" t="s">
        <v>63</v>
      </c>
      <c r="B18" s="7" t="s">
        <v>17</v>
      </c>
      <c r="C18" s="8">
        <v>759.83</v>
      </c>
      <c r="D18" s="46"/>
      <c r="E18" s="12"/>
    </row>
    <row r="19" spans="1:5" ht="15">
      <c r="A19" s="40" t="s">
        <v>64</v>
      </c>
      <c r="B19" s="7" t="s">
        <v>18</v>
      </c>
      <c r="C19" s="8">
        <v>35</v>
      </c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>
        <v>232.36</v>
      </c>
      <c r="D25" s="46"/>
      <c r="E25" s="12"/>
    </row>
    <row r="26" spans="1:5" ht="15">
      <c r="A26" s="40" t="s">
        <v>71</v>
      </c>
      <c r="B26" s="7" t="s">
        <v>25</v>
      </c>
      <c r="C26" s="8">
        <v>2101.26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>
        <v>134.88</v>
      </c>
      <c r="D28" s="46"/>
      <c r="E28" s="12"/>
    </row>
    <row r="29" spans="1:5" ht="15">
      <c r="A29" s="40" t="s">
        <v>74</v>
      </c>
      <c r="B29" s="7" t="s">
        <v>28</v>
      </c>
      <c r="C29" s="8">
        <v>205155.89</v>
      </c>
      <c r="D29" s="46"/>
      <c r="E29" s="12"/>
    </row>
    <row r="30" spans="1:5" ht="15">
      <c r="A30" s="40" t="s">
        <v>75</v>
      </c>
      <c r="B30" s="7" t="s">
        <v>29</v>
      </c>
      <c r="C30" s="8">
        <v>1788.83</v>
      </c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>
        <v>51.75</v>
      </c>
      <c r="D32" s="46"/>
      <c r="E32" s="12"/>
    </row>
    <row r="33" spans="1:5" ht="15">
      <c r="A33" s="40" t="s">
        <v>78</v>
      </c>
      <c r="B33" s="7" t="s">
        <v>32</v>
      </c>
      <c r="C33" s="8">
        <v>15303.9</v>
      </c>
      <c r="D33" s="46"/>
      <c r="E33" s="12"/>
    </row>
    <row r="34" spans="1:5" ht="15">
      <c r="A34" s="40" t="s">
        <v>80</v>
      </c>
      <c r="B34" s="7" t="s">
        <v>33</v>
      </c>
      <c r="C34" s="8">
        <v>14324.24</v>
      </c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>
        <v>329.87</v>
      </c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7" t="s">
        <v>94</v>
      </c>
      <c r="C40" s="8">
        <v>51.75</v>
      </c>
      <c r="D40" s="46"/>
      <c r="E40" s="12"/>
    </row>
    <row r="41" spans="1:5" ht="15">
      <c r="A41" s="40" t="s">
        <v>91</v>
      </c>
      <c r="B41" s="7" t="s">
        <v>98</v>
      </c>
      <c r="C41" s="8">
        <v>58.09</v>
      </c>
      <c r="D41" s="46"/>
      <c r="E41" s="12"/>
    </row>
    <row r="42" spans="1:5" ht="15">
      <c r="A42" s="40" t="s">
        <v>115</v>
      </c>
      <c r="B42" s="7" t="s">
        <v>113</v>
      </c>
      <c r="C42" s="8"/>
      <c r="D42" s="46"/>
      <c r="E42" s="12"/>
    </row>
    <row r="43" spans="1:5" ht="15.75" thickBot="1">
      <c r="A43" s="40" t="s">
        <v>116</v>
      </c>
      <c r="B43" s="7" t="s">
        <v>114</v>
      </c>
      <c r="C43" s="8"/>
      <c r="D43" s="46"/>
      <c r="E43" s="12"/>
    </row>
    <row r="44" spans="1:5" ht="15.75" thickBot="1">
      <c r="A44" s="54"/>
      <c r="B44" s="55" t="s">
        <v>35</v>
      </c>
      <c r="C44" s="93">
        <f>SUM(C6:C41)</f>
        <v>494128.7700000001</v>
      </c>
      <c r="D44" s="12"/>
      <c r="E44" s="12"/>
    </row>
    <row r="45" spans="1:5" ht="14.25">
      <c r="A45" s="37"/>
      <c r="B45" s="37"/>
      <c r="C45" s="83"/>
      <c r="D45" s="1"/>
      <c r="E45" s="1"/>
    </row>
    <row r="46" spans="1:5" ht="14.25">
      <c r="A46" s="37"/>
      <c r="B46" s="37"/>
      <c r="C46" s="39"/>
      <c r="D46" s="1"/>
      <c r="E46" s="1"/>
    </row>
    <row r="47" spans="1:5" ht="14.25">
      <c r="A47" s="37"/>
      <c r="B47" s="37"/>
      <c r="C47" s="37"/>
      <c r="D47" s="37"/>
      <c r="E47" s="37"/>
    </row>
    <row r="48" spans="1:5" ht="14.25">
      <c r="A48" s="37"/>
      <c r="B48" s="37"/>
      <c r="C48" s="37"/>
      <c r="D48" s="37"/>
      <c r="E48" s="37"/>
    </row>
    <row r="49" spans="1:5" ht="14.25">
      <c r="A49" s="37"/>
      <c r="B49" s="37"/>
      <c r="C49" s="37"/>
      <c r="D49" s="37"/>
      <c r="E49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3">
      <selection activeCell="C34" sqref="C34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02" t="s">
        <v>124</v>
      </c>
      <c r="B3" s="102"/>
      <c r="C3" s="102"/>
      <c r="D3" s="102"/>
      <c r="E3" s="102"/>
      <c r="F3" s="102"/>
      <c r="G3" s="102"/>
      <c r="H3" s="102"/>
      <c r="I3" s="102"/>
    </row>
    <row r="4" spans="1:9" ht="14.25">
      <c r="A4" s="104"/>
      <c r="B4" s="104"/>
      <c r="C4" s="104"/>
      <c r="D4" s="43"/>
      <c r="E4" s="37"/>
      <c r="F4" s="37"/>
      <c r="G4" s="37"/>
      <c r="H4" s="37"/>
      <c r="I4" s="37"/>
    </row>
    <row r="5" spans="1:9" ht="45">
      <c r="A5" s="49" t="s">
        <v>0</v>
      </c>
      <c r="B5" s="49" t="s">
        <v>1</v>
      </c>
      <c r="C5" s="51" t="s">
        <v>50</v>
      </c>
      <c r="D5" s="37"/>
      <c r="E5" s="37"/>
      <c r="F5" s="37"/>
      <c r="G5" s="37"/>
      <c r="H5" s="37"/>
      <c r="I5" s="37"/>
    </row>
    <row r="6" spans="1:9" ht="15">
      <c r="A6" s="40" t="s">
        <v>79</v>
      </c>
      <c r="B6" s="7" t="s">
        <v>6</v>
      </c>
      <c r="C6" s="47"/>
      <c r="D6" s="37"/>
      <c r="E6" s="37"/>
      <c r="F6" s="37"/>
      <c r="G6" s="37"/>
      <c r="H6" s="37"/>
      <c r="I6" s="37"/>
    </row>
    <row r="7" spans="1:9" ht="15">
      <c r="A7" s="40" t="s">
        <v>52</v>
      </c>
      <c r="B7" s="7" t="s">
        <v>39</v>
      </c>
      <c r="C7" s="47"/>
      <c r="D7" s="37"/>
      <c r="E7" s="37"/>
      <c r="F7" s="37"/>
      <c r="G7" s="37"/>
      <c r="H7" s="37"/>
      <c r="I7" s="37"/>
    </row>
    <row r="8" spans="1:9" ht="15">
      <c r="A8" s="40" t="s">
        <v>53</v>
      </c>
      <c r="B8" s="7" t="s">
        <v>8</v>
      </c>
      <c r="C8" s="47"/>
      <c r="D8" s="37"/>
      <c r="E8" s="37"/>
      <c r="F8" s="37"/>
      <c r="G8" s="37"/>
      <c r="H8" s="37"/>
      <c r="I8" s="37"/>
    </row>
    <row r="9" spans="1:9" ht="15">
      <c r="A9" s="40" t="s">
        <v>54</v>
      </c>
      <c r="B9" s="7" t="s">
        <v>9</v>
      </c>
      <c r="C9" s="47"/>
      <c r="D9" s="37"/>
      <c r="E9" s="37"/>
      <c r="F9" s="37"/>
      <c r="G9" s="37"/>
      <c r="H9" s="37"/>
      <c r="I9" s="37"/>
    </row>
    <row r="10" spans="1:9" ht="15">
      <c r="A10" s="40" t="s">
        <v>55</v>
      </c>
      <c r="B10" s="7" t="s">
        <v>10</v>
      </c>
      <c r="C10" s="47"/>
      <c r="D10" s="37"/>
      <c r="E10" s="37"/>
      <c r="F10" s="37"/>
      <c r="G10" s="37"/>
      <c r="H10" s="37"/>
      <c r="I10" s="37"/>
    </row>
    <row r="11" spans="1:9" ht="15">
      <c r="A11" s="40" t="s">
        <v>56</v>
      </c>
      <c r="B11" s="7" t="s">
        <v>11</v>
      </c>
      <c r="C11" s="47"/>
      <c r="D11" s="37"/>
      <c r="E11" s="37"/>
      <c r="F11" s="37"/>
      <c r="G11" s="37"/>
      <c r="H11" s="37"/>
      <c r="I11" s="37"/>
    </row>
    <row r="12" spans="1:9" ht="15">
      <c r="A12" s="40" t="s">
        <v>57</v>
      </c>
      <c r="B12" s="7" t="s">
        <v>12</v>
      </c>
      <c r="C12" s="47"/>
      <c r="D12" s="37"/>
      <c r="E12" s="37"/>
      <c r="F12" s="37"/>
      <c r="G12" s="37"/>
      <c r="H12" s="37"/>
      <c r="I12" s="37"/>
    </row>
    <row r="13" spans="1:9" ht="15">
      <c r="A13" s="40" t="s">
        <v>58</v>
      </c>
      <c r="B13" s="7" t="s">
        <v>13</v>
      </c>
      <c r="C13" s="47"/>
      <c r="D13" s="37"/>
      <c r="E13" s="37"/>
      <c r="F13" s="37"/>
      <c r="G13" s="37"/>
      <c r="H13" s="37"/>
      <c r="I13" s="37"/>
    </row>
    <row r="14" spans="1:9" ht="15">
      <c r="A14" s="40" t="s">
        <v>59</v>
      </c>
      <c r="B14" s="7" t="s">
        <v>112</v>
      </c>
      <c r="C14" s="47"/>
      <c r="D14" s="37"/>
      <c r="E14" s="37"/>
      <c r="F14" s="37"/>
      <c r="G14" s="37"/>
      <c r="H14" s="37"/>
      <c r="I14" s="37"/>
    </row>
    <row r="15" spans="1:9" ht="15">
      <c r="A15" s="40" t="s">
        <v>60</v>
      </c>
      <c r="B15" s="7" t="s">
        <v>14</v>
      </c>
      <c r="C15" s="47">
        <v>33304.86</v>
      </c>
      <c r="D15" s="37"/>
      <c r="E15" s="37"/>
      <c r="F15" s="37"/>
      <c r="G15" s="37"/>
      <c r="H15" s="37"/>
      <c r="I15" s="37"/>
    </row>
    <row r="16" spans="1:9" ht="15">
      <c r="A16" s="40" t="s">
        <v>61</v>
      </c>
      <c r="B16" s="7" t="s">
        <v>15</v>
      </c>
      <c r="C16" s="47"/>
      <c r="D16" s="37"/>
      <c r="E16" s="37"/>
      <c r="F16" s="37"/>
      <c r="G16" s="37"/>
      <c r="H16" s="37"/>
      <c r="I16" s="37"/>
    </row>
    <row r="17" spans="1:9" ht="15">
      <c r="A17" s="40" t="s">
        <v>62</v>
      </c>
      <c r="B17" s="7" t="s">
        <v>40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63</v>
      </c>
      <c r="B18" s="7" t="s">
        <v>17</v>
      </c>
      <c r="C18" s="47"/>
      <c r="D18" s="37"/>
      <c r="E18" s="37"/>
      <c r="F18" s="37"/>
      <c r="G18" s="37"/>
      <c r="H18" s="37"/>
      <c r="I18" s="37"/>
    </row>
    <row r="19" spans="1:9" ht="15">
      <c r="A19" s="40" t="s">
        <v>64</v>
      </c>
      <c r="B19" s="7" t="s">
        <v>18</v>
      </c>
      <c r="C19" s="47"/>
      <c r="D19" s="37"/>
      <c r="E19" s="37"/>
      <c r="F19" s="37"/>
      <c r="G19" s="37"/>
      <c r="H19" s="37"/>
      <c r="I19" s="37"/>
    </row>
    <row r="20" spans="1:9" ht="15">
      <c r="A20" s="40" t="s">
        <v>65</v>
      </c>
      <c r="B20" s="7" t="s">
        <v>19</v>
      </c>
      <c r="C20" s="47"/>
      <c r="D20" s="37"/>
      <c r="E20" s="37"/>
      <c r="F20" s="37"/>
      <c r="G20" s="37"/>
      <c r="H20" s="37"/>
      <c r="I20" s="37"/>
    </row>
    <row r="21" spans="1:9" ht="15">
      <c r="A21" s="40" t="s">
        <v>66</v>
      </c>
      <c r="B21" s="7" t="s">
        <v>20</v>
      </c>
      <c r="C21" s="47"/>
      <c r="D21" s="37"/>
      <c r="E21" s="37"/>
      <c r="F21" s="37"/>
      <c r="G21" s="37"/>
      <c r="H21" s="37"/>
      <c r="I21" s="37"/>
    </row>
    <row r="22" spans="1:9" ht="15">
      <c r="A22" s="40" t="s">
        <v>67</v>
      </c>
      <c r="B22" s="7" t="s">
        <v>21</v>
      </c>
      <c r="C22" s="47"/>
      <c r="D22" s="37"/>
      <c r="E22" s="37"/>
      <c r="F22" s="37"/>
      <c r="G22" s="37"/>
      <c r="H22" s="37"/>
      <c r="I22" s="37"/>
    </row>
    <row r="23" spans="1:9" ht="15">
      <c r="A23" s="40" t="s">
        <v>68</v>
      </c>
      <c r="B23" s="7" t="s">
        <v>22</v>
      </c>
      <c r="C23" s="47"/>
      <c r="D23" s="37"/>
      <c r="E23" s="37"/>
      <c r="F23" s="37"/>
      <c r="G23" s="37"/>
      <c r="H23" s="37"/>
      <c r="I23" s="37"/>
    </row>
    <row r="24" spans="1:9" ht="15">
      <c r="A24" s="40" t="s">
        <v>69</v>
      </c>
      <c r="B24" s="7" t="s">
        <v>23</v>
      </c>
      <c r="C24" s="47"/>
      <c r="D24" s="37"/>
      <c r="E24" s="37"/>
      <c r="F24" s="37"/>
      <c r="G24" s="37"/>
      <c r="H24" s="37"/>
      <c r="I24" s="37"/>
    </row>
    <row r="25" spans="1:9" ht="15">
      <c r="A25" s="40" t="s">
        <v>70</v>
      </c>
      <c r="B25" s="7" t="s">
        <v>24</v>
      </c>
      <c r="C25" s="47"/>
      <c r="D25" s="37"/>
      <c r="E25" s="37"/>
      <c r="F25" s="37"/>
      <c r="G25" s="37"/>
      <c r="H25" s="37"/>
      <c r="I25" s="37"/>
    </row>
    <row r="26" spans="1:9" ht="15">
      <c r="A26" s="40" t="s">
        <v>71</v>
      </c>
      <c r="B26" s="7" t="s">
        <v>25</v>
      </c>
      <c r="C26" s="47"/>
      <c r="D26" s="37"/>
      <c r="E26" s="37"/>
      <c r="F26" s="37"/>
      <c r="G26" s="37"/>
      <c r="H26" s="37"/>
      <c r="I26" s="37"/>
    </row>
    <row r="27" spans="1:9" ht="15">
      <c r="A27" s="40" t="s">
        <v>72</v>
      </c>
      <c r="B27" s="7" t="s">
        <v>26</v>
      </c>
      <c r="C27" s="47"/>
      <c r="D27" s="37"/>
      <c r="E27" s="37"/>
      <c r="F27" s="37"/>
      <c r="G27" s="37"/>
      <c r="H27" s="37"/>
      <c r="I27" s="37"/>
    </row>
    <row r="28" spans="1:9" ht="15">
      <c r="A28" s="40" t="s">
        <v>73</v>
      </c>
      <c r="B28" s="7" t="s">
        <v>27</v>
      </c>
      <c r="C28" s="47"/>
      <c r="D28" s="37"/>
      <c r="E28" s="37"/>
      <c r="F28" s="37"/>
      <c r="G28" s="37"/>
      <c r="H28" s="37"/>
      <c r="I28" s="37"/>
    </row>
    <row r="29" spans="1:9" ht="15">
      <c r="A29" s="40" t="s">
        <v>74</v>
      </c>
      <c r="B29" s="7" t="s">
        <v>28</v>
      </c>
      <c r="C29" s="47"/>
      <c r="D29" s="37"/>
      <c r="E29" s="37"/>
      <c r="F29" s="37"/>
      <c r="G29" s="37"/>
      <c r="H29" s="37"/>
      <c r="I29" s="37"/>
    </row>
    <row r="30" spans="1:9" ht="15">
      <c r="A30" s="40" t="s">
        <v>75</v>
      </c>
      <c r="B30" s="7" t="s">
        <v>29</v>
      </c>
      <c r="C30" s="47"/>
      <c r="D30" s="37"/>
      <c r="E30" s="37"/>
      <c r="F30" s="37"/>
      <c r="G30" s="37"/>
      <c r="H30" s="37"/>
      <c r="I30" s="37"/>
    </row>
    <row r="31" spans="1:9" ht="15">
      <c r="A31" s="40" t="s">
        <v>76</v>
      </c>
      <c r="B31" s="7" t="s">
        <v>30</v>
      </c>
      <c r="C31" s="47"/>
      <c r="D31" s="37"/>
      <c r="E31" s="37"/>
      <c r="F31" s="37"/>
      <c r="G31" s="37"/>
      <c r="H31" s="37"/>
      <c r="I31" s="37"/>
    </row>
    <row r="32" spans="1:9" ht="15">
      <c r="A32" s="40" t="s">
        <v>77</v>
      </c>
      <c r="B32" s="7" t="s">
        <v>31</v>
      </c>
      <c r="C32" s="47"/>
      <c r="D32" s="37"/>
      <c r="E32" s="37"/>
      <c r="F32" s="37"/>
      <c r="G32" s="37"/>
      <c r="H32" s="37"/>
      <c r="I32" s="37"/>
    </row>
    <row r="33" spans="1:9" ht="15">
      <c r="A33" s="40" t="s">
        <v>78</v>
      </c>
      <c r="B33" s="7" t="s">
        <v>32</v>
      </c>
      <c r="C33" s="47">
        <v>1613.28</v>
      </c>
      <c r="D33" s="37"/>
      <c r="E33" s="37"/>
      <c r="F33" s="37"/>
      <c r="G33" s="37"/>
      <c r="H33" s="37"/>
      <c r="I33" s="37"/>
    </row>
    <row r="34" spans="1:9" ht="15">
      <c r="A34" s="40" t="s">
        <v>80</v>
      </c>
      <c r="B34" s="7" t="s">
        <v>33</v>
      </c>
      <c r="C34" s="47"/>
      <c r="D34" s="37"/>
      <c r="E34" s="37"/>
      <c r="F34" s="37"/>
      <c r="G34" s="37"/>
      <c r="H34" s="37"/>
      <c r="I34" s="37"/>
    </row>
    <row r="35" spans="1:9" ht="15">
      <c r="A35" s="40" t="s">
        <v>81</v>
      </c>
      <c r="B35" s="7" t="s">
        <v>34</v>
      </c>
      <c r="C35" s="47"/>
      <c r="D35" s="37"/>
      <c r="E35" s="37"/>
      <c r="F35" s="37"/>
      <c r="G35" s="37"/>
      <c r="H35" s="37"/>
      <c r="I35" s="37"/>
    </row>
    <row r="36" spans="1:9" ht="15">
      <c r="A36" s="40" t="s">
        <v>82</v>
      </c>
      <c r="B36" s="7" t="s">
        <v>87</v>
      </c>
      <c r="C36" s="47"/>
      <c r="D36" s="37"/>
      <c r="E36" s="37"/>
      <c r="F36" s="37"/>
      <c r="G36" s="37"/>
      <c r="H36" s="37"/>
      <c r="I36" s="37"/>
    </row>
    <row r="37" spans="1:9" ht="15">
      <c r="A37" s="40" t="s">
        <v>83</v>
      </c>
      <c r="B37" s="7" t="s">
        <v>89</v>
      </c>
      <c r="C37" s="47"/>
      <c r="D37" s="37"/>
      <c r="E37" s="37"/>
      <c r="F37" s="37"/>
      <c r="G37" s="37"/>
      <c r="H37" s="37"/>
      <c r="I37" s="37"/>
    </row>
    <row r="38" spans="1:9" ht="15">
      <c r="A38" s="40" t="s">
        <v>84</v>
      </c>
      <c r="B38" s="7" t="s">
        <v>90</v>
      </c>
      <c r="C38" s="47"/>
      <c r="D38" s="37"/>
      <c r="E38" s="37"/>
      <c r="F38" s="37"/>
      <c r="G38" s="37"/>
      <c r="H38" s="37"/>
      <c r="I38" s="37"/>
    </row>
    <row r="39" spans="1:9" ht="15">
      <c r="A39" s="40" t="s">
        <v>85</v>
      </c>
      <c r="B39" s="7" t="s">
        <v>93</v>
      </c>
      <c r="C39" s="47"/>
      <c r="D39" s="37"/>
      <c r="E39" s="37"/>
      <c r="F39" s="37"/>
      <c r="G39" s="37"/>
      <c r="H39" s="37"/>
      <c r="I39" s="37"/>
    </row>
    <row r="40" spans="1:9" ht="15">
      <c r="A40" s="40" t="s">
        <v>86</v>
      </c>
      <c r="B40" s="7" t="s">
        <v>94</v>
      </c>
      <c r="C40" s="47"/>
      <c r="D40" s="37"/>
      <c r="E40" s="37"/>
      <c r="F40" s="37"/>
      <c r="G40" s="37"/>
      <c r="H40" s="37"/>
      <c r="I40" s="37"/>
    </row>
    <row r="41" spans="1:9" ht="15">
      <c r="A41" s="40" t="s">
        <v>91</v>
      </c>
      <c r="B41" s="7" t="s">
        <v>98</v>
      </c>
      <c r="C41" s="47"/>
      <c r="D41" s="37"/>
      <c r="E41" s="37"/>
      <c r="F41" s="37"/>
      <c r="G41" s="37"/>
      <c r="H41" s="37"/>
      <c r="I41" s="37"/>
    </row>
    <row r="42" spans="1:9" ht="15">
      <c r="A42" s="40" t="s">
        <v>115</v>
      </c>
      <c r="B42" s="7" t="s">
        <v>113</v>
      </c>
      <c r="C42" s="47"/>
      <c r="D42" s="37"/>
      <c r="E42" s="37"/>
      <c r="F42" s="37"/>
      <c r="G42" s="37"/>
      <c r="H42" s="37"/>
      <c r="I42" s="37"/>
    </row>
    <row r="43" spans="1:9" ht="15.75" thickBot="1">
      <c r="A43" s="40" t="s">
        <v>116</v>
      </c>
      <c r="B43" s="7" t="s">
        <v>114</v>
      </c>
      <c r="C43" s="47"/>
      <c r="D43" s="37"/>
      <c r="E43" s="37"/>
      <c r="F43" s="37"/>
      <c r="G43" s="37"/>
      <c r="H43" s="37"/>
      <c r="I43" s="37"/>
    </row>
    <row r="44" spans="1:9" ht="15.75" thickBot="1">
      <c r="A44" s="54"/>
      <c r="B44" s="55" t="s">
        <v>35</v>
      </c>
      <c r="C44" s="93">
        <f>SUM(C6:C41)</f>
        <v>34918.14</v>
      </c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2019-12-17T07:15:25Z</cp:lastPrinted>
  <dcterms:created xsi:type="dcterms:W3CDTF">2011-06-30T06:54:46Z</dcterms:created>
  <dcterms:modified xsi:type="dcterms:W3CDTF">2020-01-20T11:20:39Z</dcterms:modified>
  <cp:category/>
  <cp:version/>
  <cp:contentType/>
  <cp:contentStatus/>
</cp:coreProperties>
</file>